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BcIlTx8eJUhifJIRIWecgjbCXfrVXgu1AGy6jUO3xJsUfQM/fqdGLPgeV+9m3d5S+G1wMDtCOKoX5o1L+Xe3SA==" workbookSaltValue="8ycJuQTXxo7Df/vERVpr2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L17" i="14"/>
  <c r="BF17" i="8"/>
  <c r="T31" i="8"/>
  <c r="BH11" i="16"/>
  <c r="S20" i="14"/>
  <c r="V20" i="14" s="1"/>
  <c r="BJ21" i="11"/>
  <c r="R18" i="20"/>
  <c r="R23" i="20" s="1"/>
  <c r="BU25" i="17"/>
  <c r="S21" i="17"/>
  <c r="BF12" i="11"/>
  <c r="X21" i="20"/>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P18" i="17"/>
  <c r="BK19" i="11"/>
  <c r="BI16" i="11"/>
  <c r="BG9" i="11"/>
  <c r="BK18" i="11"/>
  <c r="AP18" i="20"/>
  <c r="BV13" i="16"/>
  <c r="BV21" i="16"/>
  <c r="BV11" i="16"/>
  <c r="BU13" i="17"/>
  <c r="BV20" i="16"/>
  <c r="AZ11" i="11"/>
  <c r="BK20" i="11"/>
  <c r="Q16" i="17"/>
  <c r="BL22" i="11"/>
  <c r="BK10" i="11"/>
  <c r="L16" i="2"/>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9" i="12" l="1"/>
  <c r="BJ23" i="11"/>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BD31" i="8" l="1"/>
  <c r="V31" i="16"/>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<sst xmlns="http://schemas.openxmlformats.org/spreadsheetml/2006/main" count="2682" uniqueCount="1193">
  <si>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</si>
  <si>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</si>
  <si>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</si>
  <si>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</si>
  <si>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</si>
  <si>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</si>
  <si>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</si>
  <si>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</si>
  <si>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</si>
  <si>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</si>
  <si>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</si>
  <si>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</si>
  <si>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</si>
  <si>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</si>
  <si>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</si>
  <si>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</si>
  <si>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</si>
  <si>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</si>
  <si>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</si>
  <si>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</si>
  <si>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</si>
  <si>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</si>
  <si>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</si>
  <si>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</si>
  <si>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</si>
  <si>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</si>
  <si>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</si>
  <si>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</si>
  <si>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</si>
  <si>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</si>
  <si>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</si>
  <si>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</si>
  <si>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</si>
  <si>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</si>
  <si>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</si>
  <si>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</si>
  <si>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</si>
  <si>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</si>
  <si>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</si>
  <si>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</si>
  <si>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</si>
  <si>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</si>
  <si>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</si>
  <si>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</si>
  <si>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</si>
  <si>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</si>
  <si>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</si>
  <si>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</si>
  <si>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</si>
  <si>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</si>
  <si>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</si>
  <si>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</si>
  <si>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</si>
  <si>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</si>
  <si>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</si>
  <si>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</si>
  <si>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</si>
  <si>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</si>
  <si>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</si>
  <si>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</si>
  <si>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</si>
  <si>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</si>
  <si>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</si>
  <si>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</si>
  <si>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</si>
  <si>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</si>
  <si>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</si>
  <si>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</si>
  <si>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</si>
  <si>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</si>
  <si>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</si>
  <si>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</si>
  <si>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</si>
  <si>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</si>
  <si>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</si>
  <si>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</si>
  <si>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</si>
  <si>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</si>
  <si>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</si>
  <si>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</si>
  <si>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</si>
  <si>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</si>
  <si>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</si>
  <si>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</si>
  <si>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</si>
  <si>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</si>
  <si>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</si>
  <si>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</si>
  <si>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</si>
  <si>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</si>
  <si>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</si>
  <si>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</si>
  <si>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</si>
  <si>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</si>
  <si>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</si>
  <si>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</si>
  <si>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</si>
  <si>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</si>
  <si>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</si>
  <si>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</si>
  <si>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</si>
  <si>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</si>
  <si>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</si>
  <si>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</si>
  <si>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</si>
  <si>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</si>
  <si>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</si>
  <si>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</si>
  <si>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</si>
  <si>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</si>
  <si>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</si>
  <si>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</si>
  <si>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</si>
  <si>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</si>
  <si>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</si>
  <si>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</si>
  <si>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</si>
  <si>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</si>
  <si>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</si>
  <si>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</si>
  <si>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</si>
  <si>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</si>
  <si>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</si>
  <si>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</si>
  <si>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</si>
  <si>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</si>
  <si>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</si>
  <si>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</si>
  <si>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</si>
  <si>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</si>
  <si>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</si>
  <si>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</si>
  <si>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</si>
  <si>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</si>
  <si>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</si>
  <si>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</si>
  <si>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</si>
  <si>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</si>
  <si>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</si>
  <si>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</si>
  <si>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</si>
  <si>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</si>
  <si>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</si>
  <si>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</si>
  <si>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</si>
  <si>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</si>
  <si>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</si>
  <si>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</si>
  <si>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</si>
  <si>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</si>
  <si>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</si>
  <si>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</si>
  <si>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</si>
  <si>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</si>
  <si>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</si>
  <si>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</si>
  <si>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</si>
  <si>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</si>
  <si>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</si>
  <si>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</si>
  <si>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</si>
  <si>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</si>
  <si>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</si>
  <si>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</si>
  <si>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</si>
  <si>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</si>
  <si>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</si>
  <si>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</si>
  <si>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</si>
  <si>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</si>
  <si>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</si>
  <si>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</si>
  <si>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</si>
  <si>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</si>
  <si>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</si>
  <si>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</si>
  <si>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</si>
  <si>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</si>
  <si>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</si>
  <si>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</si>
  <si>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</si>
  <si>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</si>
  <si>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</si>
  <si>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</si>
  <si>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</si>
  <si>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</si>
  <si>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</si>
  <si>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</si>
  <si>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</si>
  <si>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</si>
  <si>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</si>
  <si>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</si>
  <si>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</si>
  <si>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</si>
  <si>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</si>
  <si>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</si>
  <si>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</si>
  <si>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</si>
  <si>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</si>
  <si>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</si>
  <si>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</si>
  <si>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</si>
  <si>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</si>
  <si>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</si>
  <si>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</si>
  <si>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</si>
  <si>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</si>
  <si>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</si>
  <si>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</si>
  <si>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</si>
  <si>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</si>
  <si>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</si>
  <si>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</si>
  <si>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</si>
  <si>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</si>
  <si>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</si>
  <si>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</si>
  <si>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</si>
  <si>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</si>
  <si>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</si>
  <si>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</si>
  <si>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</si>
  <si>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</si>
  <si>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</si>
  <si>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</si>
  <si>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</si>
  <si>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</si>
  <si>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</si>
  <si>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</si>
  <si>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</si>
  <si>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</si>
  <si>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</si>
  <si>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</si>
  <si>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</si>
  <si>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</si>
  <si>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</si>
  <si>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</si>
  <si>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</si>
  <si>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</si>
  <si>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</si>
  <si>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</si>
  <si>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</si>
  <si>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</si>
  <si>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</si>
  <si>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</si>
  <si>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</si>
  <si>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</si>
  <si>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</si>
  <si>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</si>
  <si>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</si>
  <si>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</si>
  <si>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</si>
  <si>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</si>
  <si>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</si>
  <si>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</si>
  <si>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</si>
  <si>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</si>
  <si>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</si>
  <si>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</si>
  <si>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</si>
  <si>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</si>
  <si>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</si>
  <si>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</si>
  <si>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</si>
  <si>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</si>
  <si>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</si>
  <si>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</si>
  <si>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</si>
  <si>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</si>
  <si>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</si>
  <si>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</si>
  <si>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</si>
  <si>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</si>
  <si>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</si>
  <si>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</si>
  <si>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</si>
  <si>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</si>
  <si>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</si>
  <si>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</si>
  <si>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</si>
  <si>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</si>
  <si>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</si>
  <si>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</si>
  <si>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</si>
  <si>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</si>
  <si>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</si>
  <si>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</si>
  <si>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</si>
  <si>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</si>
  <si>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</si>
  <si>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</si>
  <si>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</si>
  <si>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</si>
  <si>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</si>
  <si>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</si>
  <si>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</si>
  <si>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</si>
  <si>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</si>
  <si>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</si>
  <si>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</si>
  <si>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</si>
  <si>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</si>
  <si>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</si>
  <si>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</si>
  <si>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</si>
  <si>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</si>
  <si>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</si>
  <si>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</si>
  <si>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</si>
  <si>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</si>
  <si>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</si>
  <si>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</si>
  <si>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</si>
  <si>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</si>
  <si>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</si>
  <si>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</si>
  <si>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</si>
  <si>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</si>
  <si>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</si>
  <si>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</si>
  <si>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</si>
  <si>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</si>
  <si>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</si>
  <si>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</si>
  <si>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</si>
  <si>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</si>
  <si>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</si>
  <si>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</si>
  <si>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</si>
  <si>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</si>
  <si>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</si>
  <si>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</si>
  <si>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</si>
  <si>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</si>
  <si>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</si>
  <si>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</si>
  <si>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</si>
  <si>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</si>
  <si>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</si>
  <si>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</si>
  <si>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</si>
  <si>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</si>
  <si>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</si>
  <si>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</si>
  <si>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</si>
  <si>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</si>
  <si>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</si>
  <si>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</si>
  <si>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</si>
  <si>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</si>
  <si>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</si>
  <si>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</si>
  <si>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</si>
  <si>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</si>
  <si>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</si>
  <si>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</si>
  <si>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</si>
  <si>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</si>
  <si>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</si>
  <si>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</si>
  <si>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</si>
  <si>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</si>
  <si>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</si>
  <si>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</si>
  <si>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</si>
  <si>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</si>
  <si>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</si>
  <si>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</si>
  <si>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</si>
  <si>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</si>
  <si>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</si>
  <si>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</si>
  <si>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</si>
  <si>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</si>
  <si>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</si>
  <si>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</si>
  <si>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</si>
  <si>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</si>
  <si>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</si>
  <si>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</si>
  <si>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</si>
  <si>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</si>
  <si>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</si>
  <si>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</si>
  <si>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</si>
  <si>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</si>
  <si>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</si>
  <si>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</si>
  <si>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</si>
  <si>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</si>
  <si>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</si>
  <si>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</si>
  <si>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</si>
  <si>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</si>
  <si>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</si>
  <si>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</si>
  <si>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</si>
  <si>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</si>
  <si>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</si>
  <si>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</si>
  <si>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</si>
  <si>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</si>
  <si>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</si>
  <si>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</si>
  <si>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</si>
  <si>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</si>
  <si>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</si>
  <si>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</si>
  <si>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</si>
  <si>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</si>
  <si>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</si>
  <si>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</si>
  <si>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</si>
  <si>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</si>
  <si>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</si>
  <si>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</si>
  <si>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</si>
  <si>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</si>
  <si>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</si>
  <si>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</si>
  <si>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</si>
  <si>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</si>
  <si>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</si>
  <si>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</si>
  <si>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</si>
  <si>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</si>
  <si>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</si>
  <si>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</si>
  <si>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</si>
  <si>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</si>
  <si>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</si>
  <si>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</si>
  <si>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</si>
  <si>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</si>
  <si>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</si>
  <si>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</si>
  <si>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</si>
  <si>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</si>
  <si>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</si>
  <si>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</si>
  <si>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</si>
  <si>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</si>
  <si>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</si>
  <si>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</si>
  <si>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</si>
  <si>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</si>
  <si>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</si>
  <si>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</si>
  <si>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</si>
  <si>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</si>
  <si>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</si>
  <si>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</si>
  <si>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</si>
  <si>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</si>
  <si>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</si>
  <si>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</si>
  <si>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</si>
  <si>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</si>
  <si>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</si>
  <si>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</si>
  <si>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</si>
  <si>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</si>
  <si>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</si>
  <si>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</si>
  <si>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</si>
  <si>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</si>
  <si>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</si>
  <si>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</si>
  <si>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</si>
  <si>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</si>
  <si>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</si>
  <si>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</si>
  <si>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</si>
  <si>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</si>
  <si>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</si>
  <si>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</si>
  <si>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</si>
  <si>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</si>
  <si>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</si>
  <si>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</si>
  <si>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</si>
  <si>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</si>
  <si>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</si>
  <si>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</si>
  <si>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</si>
  <si>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</si>
  <si>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</si>
  <si>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</si>
  <si>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</si>
  <si>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</si>
  <si>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</si>
  <si>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</si>
  <si>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</si>
  <si>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</si>
  <si>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</si>
  <si>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</si>
  <si>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</si>
  <si>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</si>
  <si>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</si>
  <si>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</si>
  <si>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</si>
  <si>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</si>
  <si>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</si>
  <si>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</si>
  <si>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</si>
  <si>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</si>
  <si>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</si>
  <si>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</si>
  <si>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</si>
  <si>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</si>
  <si>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</si>
  <si>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</si>
  <si>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</si>
  <si>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</si>
  <si>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</si>
  <si>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</si>
  <si>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</si>
  <si>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</si>
  <si>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</si>
  <si>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</si>
  <si>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</si>
  <si>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</si>
  <si>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</si>
  <si>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</si>
  <si>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</si>
  <si>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</si>
  <si>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</si>
  <si>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</si>
  <si>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</si>
  <si>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</si>
  <si>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</si>
  <si>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</si>
  <si>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</si>
  <si>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</si>
  <si>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</si>
  <si>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</si>
  <si>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</si>
  <si>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</si>
  <si>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</si>
  <si>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</si>
  <si>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</si>
  <si>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</si>
  <si>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</si>
  <si>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</si>
  <si>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</si>
  <si>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</si>
  <si>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</si>
  <si>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</si>
  <si>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</si>
  <si>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</si>
  <si>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</si>
  <si>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</si>
  <si>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</si>
  <si>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</si>
  <si>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</si>
  <si>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</si>
  <si>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</si>
  <si>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</si>
  <si>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</si>
  <si>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</si>
  <si>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</si>
  <si>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</si>
  <si>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</si>
  <si>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</si>
  <si>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</si>
  <si>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</si>
  <si>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</si>
  <si>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</si>
  <si>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</si>
  <si>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</si>
  <si>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</si>
  <si>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</si>
  <si>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</si>
  <si>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</si>
  <si>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</si>
  <si>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</si>
  <si>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</si>
  <si>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</si>
  <si>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</si>
  <si>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</si>
  <si>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</si>
  <si>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</si>
  <si>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</si>
  <si>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</si>
  <si>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</si>
  <si>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</si>
  <si>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</si>
  <si>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</si>
  <si>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</si>
  <si>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</si>
  <si>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</si>
  <si>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</si>
  <si>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</si>
  <si>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</si>
  <si>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</si>
  <si>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</si>
  <si>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</si>
  <si>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</si>
  <si>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</si>
  <si>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</si>
  <si>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</si>
  <si>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</si>
  <si>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</si>
  <si>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</si>
  <si>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</si>
  <si>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</si>
  <si>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</si>
  <si>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</si>
  <si>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</si>
  <si>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</si>
  <si>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</si>
  <si>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</si>
  <si>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</si>
  <si>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</si>
  <si>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</si>
  <si>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</si>
  <si>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</si>
  <si>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</si>
  <si>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</si>
  <si>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</si>
  <si>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</si>
  <si>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</si>
  <si>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</si>
  <si>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</si>
  <si>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</si>
  <si>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</si>
  <si>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</si>
  <si>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</si>
  <si>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</si>
  <si>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</si>
  <si>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</si>
  <si>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</si>
  <si>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</si>
  <si>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</si>
  <si>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</si>
  <si>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</si>
  <si>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</si>
  <si>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</si>
  <si>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</si>
  <si>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</si>
  <si>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</si>
  <si>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</si>
  <si>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</si>
  <si>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</si>
  <si>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</si>
  <si>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</si>
  <si>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</si>
  <si>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</si>
  <si>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</si>
  <si>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</si>
  <si>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</si>
  <si>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</si>
  <si>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</si>
  <si>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</si>
  <si>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</si>
  <si>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</si>
  <si>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</si>
  <si>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</si>
  <si>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</si>
  <si>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</si>
  <si>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</si>
  <si>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</si>
  <si>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</si>
  <si>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</si>
  <si>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</si>
  <si>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</si>
  <si>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</si>
  <si>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</si>
  <si>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</si>
  <si>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</si>
  <si>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</si>
  <si>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</si>
  <si>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</si>
  <si>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</si>
  <si>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</si>
  <si>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</si>
  <si>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</si>
  <si>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</si>
  <si>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</si>
  <si>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</si>
  <si>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</si>
  <si>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</si>
  <si>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</si>
  <si>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</si>
  <si>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</si>
  <si>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</si>
  <si>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</si>
  <si>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</si>
  <si>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</si>
  <si>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</si>
  <si>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</si>
  <si>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</si>
  <si>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</si>
  <si>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</si>
  <si>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</si>
  <si>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</si>
  <si>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</si>
  <si>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</si>
  <si>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</si>
  <si>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</si>
  <si>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</si>
  <si>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</si>
  <si>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</si>
  <si>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</si>
  <si>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</si>
  <si>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</si>
  <si>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</si>
  <si>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</si>
  <si>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</si>
  <si>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</si>
  <si>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</si>
  <si>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</si>
  <si>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</si>
  <si>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</si>
  <si>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</si>
  <si>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</si>
  <si>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</si>
  <si>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</si>
  <si>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</si>
  <si>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</si>
  <si>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</si>
  <si>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</si>
  <si>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</si>
  <si>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</si>
  <si>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</si>
  <si>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</si>
  <si>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</si>
  <si>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</si>
  <si>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</si>
  <si>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</si>
  <si>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</si>
  <si>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</si>
  <si>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</si>
  <si>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</si>
  <si>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</si>
  <si>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</si>
  <si>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</si>
  <si>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</si>
  <si>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</si>
  <si>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</si>
  <si>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</si>
  <si>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</si>
  <si>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</si>
  <si>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</si>
  <si>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</si>
  <si>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</si>
  <si>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</si>
  <si>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</si>
  <si>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</si>
  <si>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</si>
  <si>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</si>
  <si>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</si>
  <si>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</si>
  <si>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</si>
  <si>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</si>
  <si>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</si>
  <si>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</si>
  <si>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</si>
  <si>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</si>
  <si>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</si>
  <si>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</si>
  <si>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</si>
  <si>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</si>
  <si>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</si>
  <si>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</si>
  <si>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</si>
  <si>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</si>
  <si>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</si>
  <si>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</si>
  <si>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</si>
  <si>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</si>
  <si>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</si>
  <si>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</si>
  <si>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</si>
  <si>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</si>
  <si>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</si>
  <si>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</si>
  <si>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</si>
  <si>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</si>
  <si>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</si>
  <si>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</si>
  <si>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</si>
  <si>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</si>
  <si>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</si>
  <si>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</si>
  <si>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</si>
  <si>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</si>
  <si>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</si>
  <si>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</si>
  <si>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</si>
  <si>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</si>
  <si>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</si>
  <si>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</si>
  <si>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</si>
  <si>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</si>
  <si>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</si>
  <si>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</si>
  <si>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</si>
  <si>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</si>
  <si>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</si>
  <si>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</si>
  <si>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</si>
  <si>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</si>
  <si>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</si>
  <si>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</si>
  <si>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</si>
  <si>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</si>
  <si>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</si>
  <si>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</si>
  <si>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</si>
  <si>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</si>
  <si>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</si>
  <si>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</si>
  <si>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</si>
  <si>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</si>
  <si>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</si>
  <si>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</si>
  <si>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</si>
  <si>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</si>
  <si>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</si>
  <si>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</si>
  <si>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</si>
  <si>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</si>
  <si>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</si>
  <si>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</si>
  <si>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</si>
  <si>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</si>
  <si>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</si>
  <si>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</si>
  <si>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</si>
  <si>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</si>
  <si>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</si>
  <si>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</si>
  <si>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</si>
  <si>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</si>
  <si>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</si>
  <si>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</si>
  <si>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</si>
  <si>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</si>
  <si>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</si>
  <si>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</si>
  <si>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</si>
  <si>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</si>
  <si>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</si>
  <si>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</si>
  <si>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</si>
  <si>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</si>
  <si>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</si>
  <si>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</si>
  <si>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</si>
  <si>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</si>
  <si>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</si>
  <si>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</si>
  <si>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</si>
  <si>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</si>
  <si>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</si>
  <si>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</si>
  <si>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</si>
  <si>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</si>
  <si>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</si>
  <si>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</si>
  <si>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</si>
  <si>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</si>
  <si>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</si>
  <si>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</si>
  <si>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</si>
  <si>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</si>
  <si>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</si>
  <si>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</si>
  <si>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</si>
  <si>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</si>
  <si>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</si>
  <si>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</si>
  <si>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</si>
  <si>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</si>
  <si>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</si>
  <si>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</si>
  <si>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</si>
  <si>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</si>
  <si>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</si>
  <si>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</si>
  <si>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</si>
  <si>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</si>
  <si>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</si>
  <si>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</si>
  <si>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</si>
  <si>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</si>
  <si>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</si>
  <si>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</si>
  <si>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</si>
  <si>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</si>
  <si>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</si>
  <si>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</si>
  <si>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</si>
  <si>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</si>
  <si>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</si>
  <si>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</si>
  <si>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</si>
  <si>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</si>
  <si>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</si>
  <si>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</si>
  <si>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</si>
  <si>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</si>
  <si>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</si>
  <si>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</si>
  <si>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</si>
  <si>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</si>
  <si>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</si>
  <si>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</si>
  <si>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</si>
  <si>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</si>
  <si>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</si>
  <si>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</si>
  <si>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</si>
  <si>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</si>
  <si>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</si>
  <si>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</si>
  <si>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</si>
  <si>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</si>
  <si>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</si>
  <si>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</si>
  <si>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</si>
  <si>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</si>
  <si>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</si>
  <si>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</si>
  <si>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</si>
  <si>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</si>
  <si>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</si>
  <si>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</si>
  <si>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</si>
  <si>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</si>
  <si>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</si>
  <si>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</si>
  <si>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</si>
  <si>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</si>
  <si>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</si>
  <si>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</si>
  <si>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</si>
  <si>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</si>
  <si>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</si>
  <si>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</si>
  <si>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</si>
  <si>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</si>
  <si>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</si>
  <si>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</si>
  <si>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</si>
  <si>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</si>
  <si>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</si>
  <si>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</si>
  <si>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</si>
  <si>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</si>
  <si>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</si>
  <si>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</si>
  <si>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</si>
  <si>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</si>
  <si>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</si>
  <si>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</si>
  <si>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</si>
  <si>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</si>
  <si>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</si>
  <si>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</si>
  <si>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</si>
  <si>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</si>
  <si>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</si>
  <si>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</si>
  <si>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</si>
  <si>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</si>
  <si>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</si>
  <si>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</si>
  <si>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</si>
  <si>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</si>
  <si>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</si>
  <si>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</si>
  <si>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</si>
  <si>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</si>
  <si>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</si>
  <si>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</si>
  <si>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</si>
  <si>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</si>
  <si>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</si>
  <si>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</si>
  <si>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</si>
  <si>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</si>
  <si>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</si>
  <si>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</si>
  <si>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</si>
  <si>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</si>
  <si>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</si>
  <si>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</si>
  <si>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</si>
  <si>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</si>
  <si>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</si>
  <si>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</si>
  <si>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</si>
  <si>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</si>
  <si>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</si>
  <si>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</si>
  <si>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</si>
  <si>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</si>
  <si>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</si>
  <si>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</si>
  <si>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</si>
  <si>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</si>
  <si>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</si>
  <si>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</si>
  <si>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</si>
  <si>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</si>
  <si>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</si>
  <si>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</si>
  <si>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</si>
  <si>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</si>
  <si>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</si>
  <si>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</si>
  <si>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</si>
  <si>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</si>
  <si>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</si>
  <si>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</si>
  <si>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</si>
  <si>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</si>
  <si>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</si>
  <si>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</si>
  <si>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</si>
  <si>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</si>
  <si>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</si>
  <si>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</si>
  <si>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</si>
  <si>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</si>
  <si>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</si>
  <si>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</si>
  <si>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</si>
  <si>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</si>
  <si>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</si>
  <si>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</si>
  <si>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</si>
  <si>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</si>
  <si>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</si>
  <si>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</si>
  <si>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</si>
  <si>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</si>
  <si>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</si>
  <si>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</si>
  <si>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</si>
  <si>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</si>
  <si>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</si>
  <si>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</si>
  <si>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</si>
  <si>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</si>
  <si>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</si>
  <si>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</si>
  <si>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</si>
  <si>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</si>
  <si>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</si>
  <si>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</si>
  <si>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</si>
  <si>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</si>
  <si>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</si>
  <si>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</si>
  <si>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</si>
  <si>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</si>
  <si>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</si>
  <si>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</si>
  <si>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</si>
  <si>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</si>
  <si>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</si>
  <si>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</si>
  <si>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</si>
  <si>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</si>
  <si>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</si>
  <si>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</si>
  <si>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</si>
  <si>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</si>
  <si>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</si>
  <si>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</si>
  <si>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</si>
  <si>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</si>
  <si>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</si>
  <si>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</si>
  <si>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</si>
  <si>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</si>
  <si>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</si>
  <si>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</si>
  <si>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</si>
  <si>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</si>
  <si>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</si>
  <si>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</si>
  <si>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</si>
  <si>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</si>
  <si>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</si>
  <si>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</si>
  <si>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</si>
  <si>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</si>
  <si>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</si>
  <si>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</si>
  <si>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</si>
  <si>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</si>
  <si>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</si>
  <si>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</si>
  <si>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</si>
  <si>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</si>
  <si>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</si>
  <si>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</si>
  <si>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</si>
  <si>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</si>
  <si>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</si>
  <si>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</si>
  <si>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</si>
  <si>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</si>
  <si>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</si>
  <si>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</si>
  <si>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</si>
  <si>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</si>
  <si>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</si>
  <si>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</si>
  <si>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</si>
  <si>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</si>
  <si>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</si>
  <si>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</si>
  <si>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</si>
  <si>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</si>
  <si>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</si>
  <si>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</si>
  <si>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</si>
  <si>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</si>
  <si>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</si>
  <si>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</si>
  <si>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</si>
  <si>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</si>
  <si>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</si>
  <si>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</si>
  <si>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</si>
  <si>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</si>
  <si>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</si>
  <si>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</si>
  <si>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</si>
  <si>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</si>
  <si>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</si>
  <si>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</si>
  <si>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</si>
  <si>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</si>
  <si>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</si>
  <si>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</si>
  <si>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</si>
  <si>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</si>
  <si>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</si>
  <si>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</si>
  <si>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</si>
  <si>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</si>
  <si>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</si>
  <si>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</si>
  <si>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</si>
  <si>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</si>
  <si>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</si>
  <si>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</si>
  <si>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</si>
  <si>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</si>
  <si>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</si>
  <si>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</si>
  <si>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</si>
  <si>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</si>
  <si>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</si>
  <si>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</si>
  <si>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</si>
  <si>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</si>
  <si>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</si>
  <si>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</si>
  <si>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</si>
  <si>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</si>
  <si>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</si>
  <si>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</si>
  <si>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</si>
  <si>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</si>
  <si>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</si>
  <si>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</si>
  <si>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</si>
  <si>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</si>
  <si>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</si>
  <si>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</si>
  <si>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</si>
  <si>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</si>
  <si>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</si>
  <si>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</si>
  <si>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</si>
  <si>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</si>
  <si>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</si>
  <si>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</si>
  <si>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</si>
  <si>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</si>
  <si>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</si>
  <si>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</si>
  <si>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</si>
  <si>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</si>
  <si>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</si>
  <si>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VILANOVA I LA GELTRU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</si>
</sst>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7Mmp8VLNLLh437jaw16OvVGaBtxQdUHFdlHcXyE9X/jN1K2pCmKRwuWNvh35f4A33g4eMisyAF6BhnU7lvEOQ==" saltValue="PmKLNxdvAFgakyzPhKdr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111</v>
      </c>
      <c r="D10" s="239">
        <f>IF(ISNUMBER(Datos!I10),Datos!I10," - ")</f>
        <v>111</v>
      </c>
      <c r="E10" s="240">
        <f>IF(ISNUMBER(Datos!J10),Datos!J10," - ")</f>
        <v>16</v>
      </c>
      <c r="F10" s="240">
        <f>IF(ISNUMBER(Datos!K10),Datos!K10," - ")</f>
        <v>12</v>
      </c>
      <c r="G10" s="1390" t="str">
        <f>IF(Datos!E10&lt;&gt;"",Datos!E10,Datos!D10)</f>
        <v>37</v>
      </c>
      <c r="H10" s="241">
        <f>IF(ISNUMBER(Datos!L10),Datos!L10," - ")</f>
        <v>115</v>
      </c>
      <c r="I10" s="1400" t="str">
        <f>IF(ISNUMBER(Datos!AS10/Datos!BM10),Datos!AS10/Datos!BM10," - ")</f>
        <v xml:space="preserve"> - </v>
      </c>
      <c r="J10" s="1401">
        <f>IF(ISNUMBER(Datos!BY10/Datos!CN10),Datos!BY10/Datos!CN10," - ")</f>
        <v>0</v>
      </c>
      <c r="K10" s="244">
        <f t="shared" ref="K10:K13" si="1">IF(ISNUMBER((E10-F10)/C10),(E10-F10)/C10," - ")</f>
        <v>3.6036036036036036E-2</v>
      </c>
      <c r="L10" s="1402">
        <f>IF(ISNUMBER(NºAsuntos!I10/NºAsuntos!G10),(NºAsuntos!I10/NºAsuntos!G10)*11," - ")</f>
        <v>105.41666666666667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53.948574622694245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111</v>
      </c>
      <c r="D14" s="1407">
        <f>SUBTOTAL(9,D9:D13)</f>
        <v>111</v>
      </c>
      <c r="E14" s="1408">
        <f>SUBTOTAL(9,E9:E13)</f>
        <v>16</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3320</v>
      </c>
      <c r="D17" s="239">
        <f>IF(ISNUMBER(IF(D_I="SI",Datos!I17,Datos!I17+Datos!AC17)),IF(D_I="SI",Datos!I17,Datos!I17+Datos!AC17)," - ")</f>
        <v>3639</v>
      </c>
      <c r="E17" s="240">
        <f>IF(ISNUMBER(IF(D_I="SI",Datos!J17,Datos!J17+Datos!AD17)),IF(D_I="SI",Datos!J17,Datos!J17+Datos!AD17)," - ")</f>
        <v>2281</v>
      </c>
      <c r="F17" s="240">
        <f>IF(ISNUMBER(IF(D_I="SI",Datos!K17,Datos!K17+Datos!AE17)),IF(D_I="SI",Datos!K17,Datos!K17+Datos!AE17)," - ")</f>
        <v>2411</v>
      </c>
      <c r="G17" s="1390" t="str">
        <f>IF(Datos!E17&lt;&gt;"",Datos!E17,Datos!D17)</f>
        <v>04</v>
      </c>
      <c r="H17" s="241">
        <f>IF(ISNUMBER(IF(D_I="SI",Datos!L17,Datos!L17+Datos!AF17)),IF(D_I="SI",Datos!L17,Datos!L17+Datos!AF17)," - ")</f>
        <v>3190</v>
      </c>
      <c r="I17" s="1400" t="str">
        <f>IF(ISNUMBER(Datos!AS17/Datos!BM17),Datos!AS17/Datos!BM17," - ")</f>
        <v xml:space="preserve"> - </v>
      </c>
      <c r="J17" s="1401">
        <f>IF(ISNUMBER(Datos!BY17/Datos!CN17),Datos!BY17/Datos!CN17," - ")</f>
        <v>0</v>
      </c>
      <c r="K17" s="244">
        <f t="shared" si="3"/>
        <v>-3.9156626506024098E-2</v>
      </c>
      <c r="L17" s="1402">
        <f>IF(ISNUMBER(NºAsuntos!I17/NºAsuntos!G17),(NºAsuntos!I17/NºAsuntos!G17)*11," - ")</f>
        <v>14.554126918291166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256</v>
      </c>
      <c r="D18" s="239">
        <f>IF(ISNUMBER(IF(D_I="SI",Datos!I18,Datos!I18+Datos!AC18)),IF(D_I="SI",Datos!I18,Datos!I18+Datos!AC18)," - ")</f>
        <v>256</v>
      </c>
      <c r="E18" s="240">
        <f>IF(ISNUMBER(IF(D_I="SI",Datos!J18,Datos!J18+Datos!AD18)),IF(D_I="SI",Datos!J18,Datos!J18+Datos!AD18)," - ")</f>
        <v>152</v>
      </c>
      <c r="F18" s="240">
        <f>IF(ISNUMBER(IF(D_I="SI",Datos!K18,Datos!K18+Datos!AE18)),IF(D_I="SI",Datos!K18,Datos!K18+Datos!AE18)," - ")</f>
        <v>109</v>
      </c>
      <c r="G18" s="1390" t="str">
        <f>IF(Datos!E18&lt;&gt;"",Datos!E18,Datos!D18)</f>
        <v>37</v>
      </c>
      <c r="H18" s="241">
        <f>IF(ISNUMBER(IF(D_I="SI",Datos!L18,Datos!L18+Datos!AF18)),IF(D_I="SI",Datos!L18,Datos!L18+Datos!AF18)," - ")</f>
        <v>299</v>
      </c>
      <c r="I18" s="1400" t="str">
        <f>IF(ISNUMBER(Datos!AS18/Datos!BM18),Datos!AS18/Datos!BM18," - ")</f>
        <v xml:space="preserve"> - </v>
      </c>
      <c r="J18" s="1401" t="str">
        <f>IF(ISNUMBER((Datos!BY18+Datos!BZ18)/Datos!CN18),(Datos!BY18+Datos!BZ18)/Datos!CN18," - ")</f>
        <v xml:space="preserve"> - </v>
      </c>
      <c r="K18" s="244">
        <f t="shared" si="3"/>
        <v>0.16796875</v>
      </c>
      <c r="L18" s="1402">
        <f>IF(ISNUMBER(NºAsuntos!I18/NºAsuntos!G18),(NºAsuntos!I18/NºAsuntos!G18)*11," - ")</f>
        <v>30.174311926605508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3576</v>
      </c>
      <c r="D23" s="1407">
        <f>SUBTOTAL(9,D16:D22)</f>
        <v>3895</v>
      </c>
      <c r="E23" s="1408">
        <f>SUBTOTAL(9,E16:E22)</f>
        <v>2433</v>
      </c>
      <c r="F23" s="1408">
        <f>SUBTOTAL(9,F16:F22)</f>
        <v>2520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3687</v>
      </c>
      <c r="D31" s="1435">
        <f>SUBTOTAL(9,D9:D30)</f>
        <v>4006</v>
      </c>
      <c r="E31" s="1436">
        <f>SUBTOTAL(9,E9:E30)</f>
        <v>2449</v>
      </c>
      <c r="F31" s="1436">
        <f>SUBTOTAL(9,F9:F30)</f>
        <v>2532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VQW+hfttaNTF9RE/aIyxJDWXac74NiaCvtwPUomSL+t+gL5Knu2n6xh8eCF+s8naPfd1FD9MB7LY1O0sPsiA==" saltValue="JC9af6v0bwutXBE9A8SVL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ZhpLhmAe8NRolmyuz8Xb5RhY/jAdjXWJdAsHN5X5/v2fbHCl/o6u1ppeSQw5TAeud2heuoEfQu2Ohfrc7zsGQ==" saltValue="0cumphbfpQiYwLaU+ERX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111</v>
      </c>
      <c r="J10" s="194">
        <v>16</v>
      </c>
      <c r="K10" s="194">
        <v>12</v>
      </c>
      <c r="L10" s="194">
        <v>115</v>
      </c>
      <c r="M10" s="194">
        <v>7</v>
      </c>
      <c r="N10" s="194">
        <v>0</v>
      </c>
      <c r="O10" s="194">
        <v>0</v>
      </c>
      <c r="P10" s="194">
        <v>0</v>
      </c>
      <c r="Q10" s="194">
        <v>0</v>
      </c>
      <c r="R10" s="194">
        <v>41</v>
      </c>
      <c r="S10" s="194">
        <v>76</v>
      </c>
      <c r="T10" s="194">
        <v>10</v>
      </c>
      <c r="U10" s="194">
        <v>5</v>
      </c>
      <c r="V10" s="194">
        <v>81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76</v>
      </c>
      <c r="AZ10" s="139">
        <f t="shared" si="0"/>
        <v>10</v>
      </c>
      <c r="BA10" s="139">
        <f t="shared" si="0"/>
        <v>5</v>
      </c>
      <c r="BB10" s="139">
        <f t="shared" si="0"/>
        <v>81</v>
      </c>
      <c r="BC10" s="135">
        <f t="shared" si="0"/>
        <v>1</v>
      </c>
      <c r="BD10" s="136">
        <f>IF(ISNUMBER(BA10/AZ10),BA10/AZ10," - ")</f>
        <v>0.5</v>
      </c>
      <c r="BE10" s="137">
        <f>IF(ISNUMBER(BB10/BA10),BB10/BA10, " - ")</f>
        <v>16.2</v>
      </c>
      <c r="BF10" s="137">
        <f>IF(ISNUMBER(BC10/BA10),BC10/BA10, " - ")</f>
        <v>0.2</v>
      </c>
      <c r="BG10" s="209">
        <f>IF(ISNUMBER((AY10+AZ10)/BA10),(AY10+AZ10)/BA10," - ")</f>
        <v>17.2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8034</v>
      </c>
      <c r="J12" s="196">
        <v>2284</v>
      </c>
      <c r="K12" s="196">
        <v>1702</v>
      </c>
      <c r="L12" s="196">
        <v>8616</v>
      </c>
      <c r="M12" s="196">
        <v>421</v>
      </c>
      <c r="N12" s="196">
        <v>714</v>
      </c>
      <c r="O12" s="194">
        <v>734</v>
      </c>
      <c r="P12" s="196">
        <v>461</v>
      </c>
      <c r="Q12" s="196">
        <v>229</v>
      </c>
      <c r="R12" s="196">
        <v>9990</v>
      </c>
      <c r="S12" s="196">
        <v>6563</v>
      </c>
      <c r="T12" s="196">
        <v>1930</v>
      </c>
      <c r="U12" s="196">
        <v>1527</v>
      </c>
      <c r="V12" s="196">
        <v>6972</v>
      </c>
      <c r="W12" s="196">
        <v>347</v>
      </c>
      <c r="X12" s="202">
        <v>580</v>
      </c>
      <c r="Y12" s="204">
        <v>168</v>
      </c>
      <c r="Z12" s="194">
        <v>77</v>
      </c>
      <c r="AA12" s="194">
        <v>87</v>
      </c>
      <c r="AB12" s="194">
        <v>158</v>
      </c>
      <c r="AC12" s="196">
        <v>0</v>
      </c>
      <c r="AD12" s="196">
        <v>0</v>
      </c>
      <c r="AE12" s="196">
        <v>0</v>
      </c>
      <c r="AF12" s="202">
        <v>0</v>
      </c>
      <c r="AG12" s="215">
        <v>145</v>
      </c>
      <c r="AH12" s="196">
        <v>103</v>
      </c>
      <c r="AI12" s="196">
        <v>77</v>
      </c>
      <c r="AJ12" s="216">
        <v>188</v>
      </c>
      <c r="AK12" s="195">
        <v>0</v>
      </c>
      <c r="AL12" s="196">
        <v>0</v>
      </c>
      <c r="AM12" s="196">
        <v>0</v>
      </c>
      <c r="AN12" s="202">
        <v>0</v>
      </c>
      <c r="AO12" s="283">
        <v>9</v>
      </c>
      <c r="AP12" s="168">
        <v>9</v>
      </c>
      <c r="AQ12" s="168">
        <v>9</v>
      </c>
      <c r="AR12" s="167">
        <v>9</v>
      </c>
      <c r="AS12" s="381" t="s">
        <v>1075</v>
      </c>
      <c r="AT12" s="216"/>
      <c r="AU12" s="215"/>
      <c r="AV12" s="216"/>
      <c r="AW12" s="215"/>
      <c r="AX12" s="216"/>
      <c r="AY12" s="136">
        <f t="shared" si="1"/>
        <v>6708</v>
      </c>
      <c r="AZ12" s="137">
        <f t="shared" si="1"/>
        <v>2033</v>
      </c>
      <c r="BA12" s="137">
        <f t="shared" si="1"/>
        <v>1604</v>
      </c>
      <c r="BB12" s="137">
        <f t="shared" si="1"/>
        <v>7160</v>
      </c>
      <c r="BC12" s="135">
        <f>IF(ISNUMBER(X12),X12," - ")</f>
        <v>580</v>
      </c>
      <c r="BD12" s="136">
        <f t="shared" si="2"/>
        <v>0.78898180029513032</v>
      </c>
      <c r="BE12" s="137">
        <f t="shared" si="3"/>
        <v>4.4638403990024935</v>
      </c>
      <c r="BF12" s="137">
        <f t="shared" si="4"/>
        <v>0.36159600997506236</v>
      </c>
      <c r="BG12" s="209">
        <f t="shared" si="5"/>
        <v>5.449501246882793</v>
      </c>
      <c r="BH12" s="168">
        <v>9</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8145</v>
      </c>
      <c r="J14" s="197">
        <f t="shared" si="7"/>
        <v>2300</v>
      </c>
      <c r="K14" s="197">
        <f t="shared" si="7"/>
        <v>1714</v>
      </c>
      <c r="L14" s="197">
        <f t="shared" si="7"/>
        <v>8731</v>
      </c>
      <c r="M14" s="197">
        <f t="shared" si="7"/>
        <v>428</v>
      </c>
      <c r="N14" s="197">
        <f t="shared" si="7"/>
        <v>714</v>
      </c>
      <c r="O14" s="197">
        <f t="shared" si="7"/>
        <v>734</v>
      </c>
      <c r="P14" s="197">
        <f t="shared" si="7"/>
        <v>461</v>
      </c>
      <c r="Q14" s="197">
        <f t="shared" si="7"/>
        <v>229</v>
      </c>
      <c r="R14" s="197">
        <f t="shared" si="7"/>
        <v>10031</v>
      </c>
      <c r="S14" s="197">
        <f t="shared" si="7"/>
        <v>6639</v>
      </c>
      <c r="T14" s="197">
        <f t="shared" si="7"/>
        <v>1940</v>
      </c>
      <c r="U14" s="197">
        <f t="shared" si="7"/>
        <v>1532</v>
      </c>
      <c r="V14" s="197">
        <f t="shared" si="7"/>
        <v>7053</v>
      </c>
      <c r="W14" s="197">
        <f t="shared" si="7"/>
        <v>348</v>
      </c>
      <c r="X14" s="197">
        <f t="shared" si="7"/>
        <v>580</v>
      </c>
      <c r="Y14" s="197">
        <f t="shared" si="7"/>
        <v>168</v>
      </c>
      <c r="Z14" s="197">
        <f t="shared" si="7"/>
        <v>77</v>
      </c>
      <c r="AA14" s="197">
        <f t="shared" si="7"/>
        <v>87</v>
      </c>
      <c r="AB14" s="197">
        <f t="shared" si="7"/>
        <v>158</v>
      </c>
      <c r="AC14" s="197">
        <f t="shared" si="7"/>
        <v>0</v>
      </c>
      <c r="AD14" s="197">
        <f t="shared" si="7"/>
        <v>0</v>
      </c>
      <c r="AE14" s="197">
        <f t="shared" si="7"/>
        <v>0</v>
      </c>
      <c r="AF14" s="197">
        <f>SUBTOTAL(9,AF9:AF13)</f>
        <v>0</v>
      </c>
      <c r="AG14" s="197">
        <f t="shared" ref="AG14:AT14" si="8">SUBTOTAL(9,AG8:AG13)</f>
        <v>145</v>
      </c>
      <c r="AH14" s="197">
        <f t="shared" si="8"/>
        <v>103</v>
      </c>
      <c r="AI14" s="197">
        <f t="shared" si="8"/>
        <v>77</v>
      </c>
      <c r="AJ14" s="197">
        <f t="shared" si="8"/>
        <v>188</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6784</v>
      </c>
      <c r="AZ14" s="197">
        <f>SUBTOTAL(9,AZ8:AZ13)</f>
        <v>2043</v>
      </c>
      <c r="BA14" s="197">
        <f>SUBTOTAL(9,BA8:BA13)</f>
        <v>1609</v>
      </c>
      <c r="BB14" s="197">
        <f>SUBTOTAL(9,BB8:BB13)</f>
        <v>7241</v>
      </c>
      <c r="BC14" s="197">
        <f>SUBTOTAL(9,BC8:BC13)</f>
        <v>581</v>
      </c>
      <c r="BD14" s="219">
        <f>IF(ISNUMBER(BA14/AZ14),BA14/AZ14," - ")</f>
        <v>0.78756730298580524</v>
      </c>
      <c r="BE14" s="220">
        <f>IF(ISNUMBER(BB14/BA14),BB14/BA14, " - ")</f>
        <v>4.5003107520198879</v>
      </c>
      <c r="BF14" s="220">
        <f>IF(ISNUMBER(BC14/BA14),BC14/BA14, " - ")</f>
        <v>0.36109384711000619</v>
      </c>
      <c r="BG14" s="221">
        <f>IF(ISNUMBER((AY14+AZ14)/BA14),(AY14+AZ14)/BA14," - ")</f>
        <v>5.4860161591050343</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3639</v>
      </c>
      <c r="J17" s="196">
        <v>2281</v>
      </c>
      <c r="K17" s="196">
        <v>2411</v>
      </c>
      <c r="L17" s="196">
        <v>3190</v>
      </c>
      <c r="M17" s="196">
        <v>309</v>
      </c>
      <c r="N17" s="196">
        <v>1376</v>
      </c>
      <c r="O17" s="194">
        <v>13</v>
      </c>
      <c r="P17" s="196">
        <v>102</v>
      </c>
      <c r="Q17" s="196">
        <v>70</v>
      </c>
      <c r="R17" s="196">
        <v>457</v>
      </c>
      <c r="S17" s="196">
        <v>3086</v>
      </c>
      <c r="T17" s="196">
        <v>1808</v>
      </c>
      <c r="U17" s="196">
        <v>1584</v>
      </c>
      <c r="V17" s="196">
        <v>3307</v>
      </c>
      <c r="W17" s="196">
        <v>258</v>
      </c>
      <c r="X17" s="202">
        <v>941</v>
      </c>
      <c r="Y17" s="215">
        <v>0</v>
      </c>
      <c r="Z17" s="196">
        <v>0</v>
      </c>
      <c r="AA17" s="196">
        <v>0</v>
      </c>
      <c r="AB17" s="196">
        <v>0</v>
      </c>
      <c r="AC17" s="196">
        <v>2</v>
      </c>
      <c r="AD17" s="196">
        <v>9</v>
      </c>
      <c r="AE17" s="196">
        <v>1</v>
      </c>
      <c r="AF17" s="202">
        <v>10</v>
      </c>
      <c r="AG17" s="215">
        <v>0</v>
      </c>
      <c r="AH17" s="196">
        <v>0</v>
      </c>
      <c r="AI17" s="196">
        <v>0</v>
      </c>
      <c r="AJ17" s="216">
        <v>0</v>
      </c>
      <c r="AK17" s="195">
        <v>15</v>
      </c>
      <c r="AL17" s="196">
        <v>5</v>
      </c>
      <c r="AM17" s="196">
        <v>3</v>
      </c>
      <c r="AN17" s="202">
        <v>17</v>
      </c>
      <c r="AO17" s="283">
        <v>9</v>
      </c>
      <c r="AP17" s="168">
        <v>9</v>
      </c>
      <c r="AQ17" s="168">
        <v>9</v>
      </c>
      <c r="AR17" s="168">
        <v>9</v>
      </c>
      <c r="AS17" s="381" t="s">
        <v>650</v>
      </c>
      <c r="AT17" s="216"/>
      <c r="AU17" s="215"/>
      <c r="AV17" s="216"/>
      <c r="AW17" s="215"/>
      <c r="AX17" s="216"/>
      <c r="AY17" s="136">
        <f t="shared" si="10"/>
        <v>3086</v>
      </c>
      <c r="AZ17" s="137">
        <f t="shared" si="10"/>
        <v>1808</v>
      </c>
      <c r="BA17" s="137">
        <f t="shared" si="10"/>
        <v>1584</v>
      </c>
      <c r="BB17" s="137">
        <f t="shared" si="10"/>
        <v>3307</v>
      </c>
      <c r="BC17" s="135">
        <f>IF(ISNUMBER(W17),W17," - ")</f>
        <v>258</v>
      </c>
      <c r="BD17" s="136">
        <f t="shared" ref="BD17:BD22" si="12">IF(ISNUMBER(BA17/AZ17),BA17/AZ17," - ")</f>
        <v>0.87610619469026552</v>
      </c>
      <c r="BE17" s="137">
        <f t="shared" ref="BE17:BE22" si="13">IF(ISNUMBER(BB17/BA17),BB17/BA17, " - ")</f>
        <v>2.0877525252525251</v>
      </c>
      <c r="BF17" s="137">
        <f t="shared" ref="BF17:BF22" si="14">IF(ISNUMBER(BC17/BA17),BC17/BA17, " - ")</f>
        <v>0.16287878787878787</v>
      </c>
      <c r="BG17" s="209">
        <f t="shared" si="11"/>
        <v>3.0896464646464645</v>
      </c>
      <c r="BH17" s="168">
        <v>9</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256</v>
      </c>
      <c r="J18" s="196">
        <v>152</v>
      </c>
      <c r="K18" s="196">
        <v>109</v>
      </c>
      <c r="L18" s="196">
        <v>299</v>
      </c>
      <c r="M18" s="196">
        <v>5</v>
      </c>
      <c r="N18" s="196">
        <v>56</v>
      </c>
      <c r="O18" s="196">
        <v>0</v>
      </c>
      <c r="P18" s="196">
        <v>0</v>
      </c>
      <c r="Q18" s="196">
        <v>0</v>
      </c>
      <c r="R18" s="196">
        <v>3</v>
      </c>
      <c r="S18" s="196">
        <v>253</v>
      </c>
      <c r="T18" s="196">
        <v>80</v>
      </c>
      <c r="U18" s="196">
        <v>94</v>
      </c>
      <c r="V18" s="196">
        <v>239</v>
      </c>
      <c r="W18" s="196">
        <v>1</v>
      </c>
      <c r="X18" s="202">
        <v>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253</v>
      </c>
      <c r="AZ18" s="139">
        <f t="shared" si="15"/>
        <v>80</v>
      </c>
      <c r="BA18" s="139">
        <f t="shared" si="15"/>
        <v>94</v>
      </c>
      <c r="BB18" s="139">
        <f t="shared" si="15"/>
        <v>239</v>
      </c>
      <c r="BC18" s="135">
        <f>IF(ISNUMBER(W18),W18," - ")</f>
        <v>1</v>
      </c>
      <c r="BD18" s="136">
        <f>IF(ISNUMBER(BA18/AZ18),BA18/AZ18," - ")</f>
        <v>1.175</v>
      </c>
      <c r="BE18" s="137">
        <f>IF(ISNUMBER(BB18/BA18),BB18/BA18, " - ")</f>
        <v>2.5425531914893615</v>
      </c>
      <c r="BF18" s="137">
        <f>IF(ISNUMBER(BC18/BA18),BC18/BA18, " - ")</f>
        <v>1.0638297872340425E-2</v>
      </c>
      <c r="BG18" s="209">
        <f>IF(ISNUMBER((AY18+AZ18)/BA18),(AY18+AZ18)/BA18," - ")</f>
        <v>3.5425531914893615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3895</v>
      </c>
      <c r="J23" s="197">
        <f t="shared" si="21"/>
        <v>2433</v>
      </c>
      <c r="K23" s="197">
        <f t="shared" si="21"/>
        <v>2520</v>
      </c>
      <c r="L23" s="197">
        <f t="shared" si="21"/>
        <v>3489</v>
      </c>
      <c r="M23" s="197">
        <f t="shared" si="21"/>
        <v>314</v>
      </c>
      <c r="N23" s="197">
        <f t="shared" si="21"/>
        <v>1432</v>
      </c>
      <c r="O23" s="197">
        <f t="shared" si="21"/>
        <v>13</v>
      </c>
      <c r="P23" s="197">
        <f t="shared" si="21"/>
        <v>102</v>
      </c>
      <c r="Q23" s="197">
        <f t="shared" si="21"/>
        <v>70</v>
      </c>
      <c r="R23" s="197">
        <f t="shared" si="21"/>
        <v>460</v>
      </c>
      <c r="S23" s="197">
        <f t="shared" si="21"/>
        <v>3339</v>
      </c>
      <c r="T23" s="197">
        <f t="shared" si="21"/>
        <v>1888</v>
      </c>
      <c r="U23" s="197">
        <f t="shared" si="21"/>
        <v>1678</v>
      </c>
      <c r="V23" s="197">
        <f t="shared" si="21"/>
        <v>3546</v>
      </c>
      <c r="W23" s="197">
        <f t="shared" si="21"/>
        <v>259</v>
      </c>
      <c r="X23" s="197">
        <f t="shared" si="21"/>
        <v>972</v>
      </c>
      <c r="Y23" s="197">
        <f t="shared" si="21"/>
        <v>0</v>
      </c>
      <c r="Z23" s="197">
        <f t="shared" si="21"/>
        <v>0</v>
      </c>
      <c r="AA23" s="197">
        <f t="shared" si="21"/>
        <v>0</v>
      </c>
      <c r="AB23" s="197">
        <f t="shared" si="21"/>
        <v>0</v>
      </c>
      <c r="AC23" s="197">
        <f t="shared" si="21"/>
        <v>2</v>
      </c>
      <c r="AD23" s="197">
        <f t="shared" si="21"/>
        <v>9</v>
      </c>
      <c r="AE23" s="197">
        <f t="shared" si="21"/>
        <v>1</v>
      </c>
      <c r="AF23" s="197">
        <f t="shared" si="21"/>
        <v>10</v>
      </c>
      <c r="AG23" s="197">
        <f t="shared" si="21"/>
        <v>0</v>
      </c>
      <c r="AH23" s="197">
        <f t="shared" si="21"/>
        <v>0</v>
      </c>
      <c r="AI23" s="197">
        <f t="shared" si="21"/>
        <v>0</v>
      </c>
      <c r="AJ23" s="197">
        <f t="shared" si="21"/>
        <v>0</v>
      </c>
      <c r="AK23" s="197">
        <f t="shared" si="21"/>
        <v>15</v>
      </c>
      <c r="AL23" s="197">
        <f t="shared" si="21"/>
        <v>5</v>
      </c>
      <c r="AM23" s="197">
        <f t="shared" si="21"/>
        <v>3</v>
      </c>
      <c r="AN23" s="197">
        <f t="shared" si="21"/>
        <v>17</v>
      </c>
      <c r="AO23" s="197">
        <f t="shared" si="21"/>
        <v>10</v>
      </c>
      <c r="AP23" s="197">
        <f t="shared" si="21"/>
        <v>9</v>
      </c>
      <c r="AQ23" s="197">
        <f t="shared" si="21"/>
        <v>9</v>
      </c>
      <c r="AR23" s="197">
        <f t="shared" si="21"/>
        <v>9</v>
      </c>
      <c r="AS23" s="197">
        <f t="shared" si="21"/>
        <v>0</v>
      </c>
      <c r="AT23" s="197">
        <f t="shared" si="21"/>
        <v>0</v>
      </c>
      <c r="AU23" s="217"/>
      <c r="AV23" s="142"/>
      <c r="AW23" s="217"/>
      <c r="AX23" s="142"/>
      <c r="AY23" s="197">
        <f>SUBTOTAL(9,AY15:AY22)</f>
        <v>3339</v>
      </c>
      <c r="AZ23" s="197">
        <f>SUBTOTAL(9,AZ15:AZ22)</f>
        <v>1888</v>
      </c>
      <c r="BA23" s="197">
        <f>SUBTOTAL(9,BA15:BA22)</f>
        <v>1678</v>
      </c>
      <c r="BB23" s="197">
        <f>SUBTOTAL(9,BB15:BB22)</f>
        <v>3546</v>
      </c>
      <c r="BC23" s="197">
        <f>SUBTOTAL(9,BC15:BC22)</f>
        <v>259</v>
      </c>
      <c r="BD23" s="219">
        <f>IF(ISNUMBER(BA23/AZ23),BA23/AZ23," - ")</f>
        <v>0.88877118644067798</v>
      </c>
      <c r="BE23" s="220">
        <f>IF(ISNUMBER(BB23/BA23),BB23/BA23, " - ")</f>
        <v>2.1132300357568532</v>
      </c>
      <c r="BF23" s="220">
        <f>IF(ISNUMBER(BC23/BA23),BC23/BA23, " - ")</f>
        <v>0.15435041716328962</v>
      </c>
      <c r="BG23" s="221">
        <f>IF(ISNUMBER((AY23+AZ23)/BA23),(AY23+AZ23)/BA23," - ")</f>
        <v>3.1150178784266984</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12040</v>
      </c>
      <c r="J31" s="144">
        <f t="shared" si="36"/>
        <v>4733</v>
      </c>
      <c r="K31" s="144">
        <f t="shared" si="36"/>
        <v>4234</v>
      </c>
      <c r="L31" s="144">
        <f t="shared" si="36"/>
        <v>12220</v>
      </c>
      <c r="M31" s="144">
        <f t="shared" si="36"/>
        <v>742</v>
      </c>
      <c r="N31" s="144">
        <f t="shared" si="36"/>
        <v>2146</v>
      </c>
      <c r="O31" s="144">
        <f t="shared" si="36"/>
        <v>747</v>
      </c>
      <c r="P31" s="144">
        <f t="shared" si="36"/>
        <v>563</v>
      </c>
      <c r="Q31" s="144">
        <f t="shared" si="36"/>
        <v>299</v>
      </c>
      <c r="R31" s="144">
        <f t="shared" si="36"/>
        <v>10491</v>
      </c>
      <c r="S31" s="144">
        <f t="shared" si="36"/>
        <v>9978</v>
      </c>
      <c r="T31" s="144">
        <f t="shared" si="36"/>
        <v>3828</v>
      </c>
      <c r="U31" s="144">
        <f t="shared" si="36"/>
        <v>3210</v>
      </c>
      <c r="V31" s="144">
        <f t="shared" si="36"/>
        <v>10599</v>
      </c>
      <c r="W31" s="144">
        <f t="shared" si="36"/>
        <v>607</v>
      </c>
      <c r="X31" s="144">
        <f t="shared" si="36"/>
        <v>1552</v>
      </c>
      <c r="Y31" s="144">
        <f t="shared" si="36"/>
        <v>168</v>
      </c>
      <c r="Z31" s="144">
        <f t="shared" si="36"/>
        <v>77</v>
      </c>
      <c r="AA31" s="144">
        <f t="shared" si="36"/>
        <v>87</v>
      </c>
      <c r="AB31" s="144">
        <f t="shared" si="36"/>
        <v>158</v>
      </c>
      <c r="AC31" s="144">
        <f t="shared" si="36"/>
        <v>2</v>
      </c>
      <c r="AD31" s="144">
        <f t="shared" si="36"/>
        <v>9</v>
      </c>
      <c r="AE31" s="144">
        <f t="shared" si="36"/>
        <v>1</v>
      </c>
      <c r="AF31" s="144">
        <f t="shared" si="36"/>
        <v>10</v>
      </c>
      <c r="AG31" s="144">
        <f t="shared" si="36"/>
        <v>145</v>
      </c>
      <c r="AH31" s="144">
        <f t="shared" si="36"/>
        <v>103</v>
      </c>
      <c r="AI31" s="144">
        <f t="shared" si="36"/>
        <v>77</v>
      </c>
      <c r="AJ31" s="144">
        <f t="shared" si="36"/>
        <v>188</v>
      </c>
      <c r="AK31" s="144">
        <f t="shared" si="36"/>
        <v>15</v>
      </c>
      <c r="AL31" s="144">
        <f t="shared" si="36"/>
        <v>5</v>
      </c>
      <c r="AM31" s="144">
        <f t="shared" si="36"/>
        <v>3</v>
      </c>
      <c r="AN31" s="224">
        <f t="shared" si="36"/>
        <v>17</v>
      </c>
      <c r="AO31" s="225">
        <v>10</v>
      </c>
      <c r="AP31" s="225">
        <v>9</v>
      </c>
      <c r="AQ31" s="225">
        <v>9</v>
      </c>
      <c r="AR31" s="225">
        <v>9</v>
      </c>
      <c r="AS31" s="166">
        <f t="shared" si="36"/>
        <v>0</v>
      </c>
      <c r="AT31" s="166">
        <f t="shared" si="36"/>
        <v>0</v>
      </c>
      <c r="AU31" s="225"/>
      <c r="AV31" s="226"/>
      <c r="AW31" s="225"/>
      <c r="AX31" s="226"/>
      <c r="AY31" s="143">
        <f>SUBTOTAL(9,AY9:AY30)</f>
        <v>10123</v>
      </c>
      <c r="AZ31" s="144">
        <f>SUBTOTAL(9,AZ9:AZ30)</f>
        <v>3931</v>
      </c>
      <c r="BA31" s="144">
        <f>SUBTOTAL(9,BA9:BA30)</f>
        <v>3287</v>
      </c>
      <c r="BB31" s="144">
        <f>SUBTOTAL(9,BB9:BB30)</f>
        <v>10787</v>
      </c>
      <c r="BC31" s="145">
        <f>SUBTOTAL(9,BC9:BC30)</f>
        <v>840</v>
      </c>
      <c r="BD31" s="227">
        <f>IF(ISNUMBER(BA31/AZ31),BA31/AZ31," - ")</f>
        <v>0.83617400152632915</v>
      </c>
      <c r="BE31" s="224">
        <f>IF(ISNUMBER(BB31/BA31),BB31/BA31, " - ")</f>
        <v>3.2817158503194404</v>
      </c>
      <c r="BF31" s="224">
        <f>IF(ISNUMBER(BC31/BA31),BC31/BA31, " - ")</f>
        <v>0.25555217523577728</v>
      </c>
      <c r="BG31" s="145">
        <f>IF(ISNUMBER((AY31+AZ31)/BA31),(AY31+AZ31)/BA31," - ")</f>
        <v>4.2756312747185881</v>
      </c>
      <c r="BH31" s="225">
        <f>SUBTOTAL(9,BH9:BH30)</f>
        <v>20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GXyiAHlrcLqvm28K3yaxgHfIwRxKM+F+ntkpGHeNs6OYc5ZdNlfQoph/jzOMmqwkeWQgDFoJ1YEkkSuhsfVzA==" saltValue="pVUwefFtrrM4LUUo6FJK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uCdkG1HciT561AOrhCU2Bynub3VApaTe2dE7nNfF08I9ehb/7gUBO9dpdyFIeCko03s7LkQqKZvwDgR1zgN6w==" saltValue="hLHlb68BvgcflgNd/2LJ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VILANOVA I LA GELTRU</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111</v>
      </c>
      <c r="G10" s="543">
        <f>IF(ISNUMBER(Datos!I10),Datos!I10," - ")</f>
        <v>111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115</v>
      </c>
      <c r="AG10" s="549"/>
      <c r="AH10" s="549"/>
      <c r="AI10" s="549"/>
      <c r="AJ10" s="549"/>
      <c r="AK10" s="549"/>
      <c r="AL10" s="550"/>
      <c r="AM10" s="766">
        <f>IF(ISNUMBER(Datos!R10),Datos!R10," - ")</f>
        <v>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28.750000000000004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9</v>
      </c>
      <c r="B12" s="746" t="s">
        <v>321</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77</v>
      </c>
      <c r="O12" s="549"/>
      <c r="P12" s="549"/>
      <c r="Q12" s="547">
        <f>IF(ISNUMBER(Datos!P12),Datos!P12,0)</f>
        <v>461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158</v>
      </c>
      <c r="AI12" s="549" t="str">
        <f>IF(ISNUMBER(Datos!CD12),Datos!CD12,"-")</f>
        <v>-</v>
      </c>
      <c r="AJ12" s="549" t="str">
        <f>IF(ISNUMBER(Datos!EN12),Datos!EN12," - ")</f>
        <v xml:space="preserve"> - </v>
      </c>
      <c r="AK12" s="549"/>
      <c r="AL12" s="550"/>
      <c r="AM12" s="766">
        <f>IF(ISNUMBER(Datos!R12),Datos!R12," - ")</f>
        <v>9990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421</v>
      </c>
      <c r="BD12" s="693">
        <f>IF(ISNUMBER(Datos!N12),Datos!N12," - ")</f>
        <v>714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0.7577297755188479</v>
      </c>
      <c r="BH12" s="764">
        <f>IF(ISNUMBER(((IF(J_V="SI",Datos!L12/Datos!K12,(Datos!L12+Datos!AB12)/(Datos!K12+Datos!AA12)))*11)/factor_trimestre),((IF(J_V="SI",Datos!L12/Datos!K12,(Datos!L12+Datos!AB12)/(Datos!K12+Datos!AA12)))*11)/factor_trimestre," - ")</f>
        <v>14.713247624371158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2.377536380405821E-2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111</v>
      </c>
      <c r="G14" s="1197">
        <f t="shared" si="1"/>
        <v>111</v>
      </c>
      <c r="H14" s="1198">
        <f t="shared" si="1"/>
        <v>0</v>
      </c>
      <c r="I14" s="1197">
        <f t="shared" si="1"/>
        <v>0</v>
      </c>
      <c r="J14" s="1164">
        <f t="shared" si="1"/>
        <v>0</v>
      </c>
      <c r="K14" s="1164">
        <f t="shared" si="1"/>
        <v>0</v>
      </c>
      <c r="L14" s="1198">
        <f t="shared" si="1"/>
        <v>0</v>
      </c>
      <c r="M14" s="1198">
        <f t="shared" si="1"/>
        <v>0</v>
      </c>
      <c r="N14" s="1198">
        <f t="shared" si="1"/>
        <v>77</v>
      </c>
      <c r="O14" s="1199">
        <f t="shared" si="1"/>
        <v>0</v>
      </c>
      <c r="P14" s="1199">
        <f t="shared" si="1"/>
        <v>0</v>
      </c>
      <c r="Q14" s="1198">
        <f t="shared" si="1"/>
        <v>461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229</v>
      </c>
      <c r="AD14" s="1198">
        <f t="shared" si="2"/>
        <v>0</v>
      </c>
      <c r="AE14" s="1198">
        <f t="shared" si="2"/>
        <v>0</v>
      </c>
      <c r="AF14" s="1198">
        <f t="shared" si="2"/>
        <v>115</v>
      </c>
      <c r="AG14" s="1198">
        <f t="shared" si="2"/>
        <v>0</v>
      </c>
      <c r="AH14" s="1198">
        <f t="shared" si="2"/>
        <v>158</v>
      </c>
      <c r="AI14" s="1198">
        <f t="shared" si="2"/>
        <v>0</v>
      </c>
      <c r="AJ14" s="1198">
        <f t="shared" si="2"/>
        <v>0</v>
      </c>
      <c r="AK14" s="1198">
        <f t="shared" si="2"/>
        <v>0</v>
      </c>
      <c r="AL14" s="1198">
        <f t="shared" si="2"/>
        <v>0</v>
      </c>
      <c r="AM14" s="1198">
        <f t="shared" si="2"/>
        <v>10031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428</v>
      </c>
      <c r="BD14" s="1198">
        <f t="shared" si="2"/>
        <v>714</v>
      </c>
      <c r="BE14" s="1198">
        <f t="shared" si="2"/>
        <v>0</v>
      </c>
      <c r="BF14" s="1198">
        <f t="shared" si="2"/>
        <v>0</v>
      </c>
      <c r="BG14" s="1198">
        <f>IF(ISNUMBER(Datos!K14/Datos!J14),Datos!K14/Datos!J14," - ")</f>
        <v>0.74521739130434783</v>
      </c>
      <c r="BH14" s="1202">
        <f>IF(ISNUMBER(((Datos!L14/Datos!K14)*11)/factor_trimestre),((Datos!L14/Datos!K14)*11)/factor_trimestre," - ")</f>
        <v>15.281796966161027</v>
      </c>
      <c r="BI14" s="1198">
        <f>IF(ISNUMBER('Resol  Asuntos'!D14/NºAsuntos!G14),'Resol  Asuntos'!D14/NºAsuntos!G14," - ")</f>
        <v>0.23764575235980012</v>
      </c>
      <c r="BJ14" s="1198" t="str">
        <f>IF(ISNUMBER(Datos!CI14/Datos!CJ14),Datos!CI14/Datos!CJ14," - ")</f>
        <v xml:space="preserve"> - </v>
      </c>
      <c r="BK14" s="1198">
        <f>SUBTOTAL(9,BK8:BK13)</f>
        <v>0</v>
      </c>
      <c r="BL14" s="1198">
        <f>IF(ISNUMBER((I14-AB14+L14)/(F14)),(I14-AB14+L14)/(F14)," - ")</f>
        <v>-0.10810810810810811</v>
      </c>
      <c r="BM14" s="1203">
        <f>SUBTOTAL(9,BM9:BM13)</f>
        <v>2.377536380405821E-2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9</v>
      </c>
      <c r="B17" s="737" t="s">
        <v>511</v>
      </c>
      <c r="C17" s="749" t="str">
        <f>Datos!A17</f>
        <v xml:space="preserve">Jdos. 1ª Instª. e Instr.                        </v>
      </c>
      <c r="D17" s="750"/>
      <c r="E17" s="1555">
        <f>IF(ISNUMBER(Datos!AQ17),Datos!AQ17," - ")</f>
        <v>9</v>
      </c>
      <c r="F17" s="740">
        <f>IF(ISNUMBER(AF17+AB17-Datos!J17-L17),AF17+AB17-Datos!J17-L17," - ")</f>
        <v>3320</v>
      </c>
      <c r="G17" s="743">
        <f>IF(ISNUMBER(IF(D_I="SI",Datos!I17,Datos!I17+Datos!AC17)),IF(D_I="SI",Datos!I17,Datos!I17+Datos!AC17)," - ")</f>
        <v>3639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2411</v>
      </c>
      <c r="AC17" s="240">
        <f>IF(ISNUMBER(Datos!Q17),Datos!Q17," - ")</f>
        <v>70</v>
      </c>
      <c r="AD17" s="374"/>
      <c r="AE17" s="562"/>
      <c r="AF17" s="741">
        <f>IF(ISNUMBER(IF(D_I="SI",Datos!L17,Datos!L17+Datos!AF17)),IF(D_I="SI",Datos!L17,Datos!L17+Datos!AF17)," - ")</f>
        <v>3190</v>
      </c>
      <c r="AG17" s="374"/>
      <c r="AH17" s="374"/>
      <c r="AI17" s="374"/>
      <c r="AJ17" s="549"/>
      <c r="AK17" s="374"/>
      <c r="AL17" s="545"/>
      <c r="AM17" s="375">
        <f>IF(ISNUMBER(Datos!R17),Datos!R17," - ")</f>
        <v>457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309</v>
      </c>
      <c r="BD17" s="243">
        <f>IF(ISNUMBER(Datos!N17),Datos!N17," - ")</f>
        <v>1376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1.0569925471284525</v>
      </c>
      <c r="BH17" s="764">
        <f>IF(ISNUMBER(((IF(D_I="SI",Datos!L17/Datos!K17,(Datos!L17+Datos!AF17)/(Datos!K17+Datos!AE17)))*11)/factor_trimestre),((IF(D_I="SI",Datos!L17/Datos!K17,(Datos!L17+Datos!AF17)/(Datos!K17+Datos!AE17)))*11)/factor_trimestre," - ")</f>
        <v>3.9693073413521365</v>
      </c>
      <c r="BI17" s="266">
        <f>IF(ISNUMBER('Resol  Asuntos'!D17/NºAsuntos!G17),'Resol  Asuntos'!D17/NºAsuntos!G17," - ")</f>
        <v>0.1281625881377022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109</v>
      </c>
      <c r="AC18" s="547">
        <f>IF(ISNUMBER(Datos!Q18),Datos!Q18," - ")</f>
        <v>0</v>
      </c>
      <c r="AD18" s="549"/>
      <c r="AE18" s="562"/>
      <c r="AF18" s="551">
        <f>IF(ISNUMBER(Datos!L18),Datos!L18,"-")</f>
        <v>299</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56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0.71710526315789469</v>
      </c>
      <c r="BH18" s="764">
        <f>IF(ISNUMBER(((IF(D_I="SI",Datos!L18/Datos!K18,(Datos!L18+Datos!AF18)/(Datos!K18+Datos!AE18)))*11)/factor_trimestre),((IF(D_I="SI",Datos!L18/Datos!K18,(Datos!L18+Datos!AF18)/(Datos!K18+Datos!AE18)))*11)/factor_trimestre," - ")</f>
        <v>8.2293577981651396</v>
      </c>
      <c r="BI18" s="763">
        <f>IF(ISNUMBER('Resol  Asuntos'!D18/NºAsuntos!G18),'Resol  Asuntos'!D18/NºAsuntos!G18," - ")</f>
        <v>4.5871559633027525E-2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3320</v>
      </c>
      <c r="G23" s="1197">
        <f>SUBTOTAL(9,G16:G22)</f>
        <v>3895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2520</v>
      </c>
      <c r="AC23" s="1198">
        <f t="shared" si="5"/>
        <v>70</v>
      </c>
      <c r="AD23" s="1198">
        <f t="shared" si="5"/>
        <v>0</v>
      </c>
      <c r="AE23" s="1198">
        <f t="shared" si="5"/>
        <v>0</v>
      </c>
      <c r="AF23" s="1198">
        <f t="shared" si="5"/>
        <v>3489</v>
      </c>
      <c r="AG23" s="1198">
        <f t="shared" si="5"/>
        <v>0</v>
      </c>
      <c r="AH23" s="1198">
        <f t="shared" si="5"/>
        <v>0</v>
      </c>
      <c r="AI23" s="1198">
        <f t="shared" si="5"/>
        <v>0</v>
      </c>
      <c r="AJ23" s="1198">
        <f t="shared" si="5"/>
        <v>0</v>
      </c>
      <c r="AK23" s="1198">
        <f t="shared" si="5"/>
        <v>0</v>
      </c>
      <c r="AL23" s="1198">
        <f t="shared" si="5"/>
        <v>0</v>
      </c>
      <c r="AM23" s="1198">
        <f t="shared" si="5"/>
        <v>460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314</v>
      </c>
      <c r="BD23" s="1198">
        <f t="shared" si="5"/>
        <v>1432</v>
      </c>
      <c r="BE23" s="1198">
        <f t="shared" si="5"/>
        <v>0</v>
      </c>
      <c r="BF23" s="1198">
        <f t="shared" si="5"/>
        <v>0</v>
      </c>
      <c r="BG23" s="1198">
        <f>IF(ISNUMBER(Datos!K23/Datos!J23),Datos!K23/Datos!J23," - ")</f>
        <v>1.0357583230579532</v>
      </c>
      <c r="BH23" s="1202">
        <f>IF(ISNUMBER(((Datos!L23/Datos!K23)*11)/factor_trimestre),((Datos!L23/Datos!K23)*11)/factor_trimestre," - ")</f>
        <v>4.1535714285714285</v>
      </c>
      <c r="BI23" s="1198">
        <f>SUBTOTAL(9,BI16:BI22)</f>
        <v>0.17403414777072973</v>
      </c>
      <c r="BJ23" s="1198">
        <f>SUBTOTAL(9,BJ16:BJ22)</f>
        <v>0</v>
      </c>
      <c r="BK23" s="1198">
        <f>SUBTOTAL(9,BK16:BK22)</f>
        <v>0</v>
      </c>
      <c r="BL23" s="1198">
        <f>IF(ISNUMBER((I23-AB23+L23)/(F23)),(I23-AB23+L23)/(F23)," - ")</f>
        <v>-0.75903614457831325</v>
      </c>
      <c r="BM23" s="1205">
        <f>IF(ISNUMBER((Datos!P23-Datos!Q23)/(Datos!R23-Datos!P23+Datos!Q23)),(Datos!P23-Datos!Q23)/(Datos!R23-Datos!P23+Datos!Q23)," - ")</f>
        <v>7.476635514018691E-2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3431</v>
      </c>
      <c r="G31" s="1117">
        <f t="shared" si="18"/>
        <v>4006</v>
      </c>
      <c r="H31" s="1119">
        <f t="shared" si="18"/>
        <v>0</v>
      </c>
      <c r="I31" s="1117">
        <f t="shared" si="18"/>
        <v>0</v>
      </c>
      <c r="J31" s="1119">
        <f t="shared" si="18"/>
        <v>0</v>
      </c>
      <c r="K31" s="1119">
        <f t="shared" si="18"/>
        <v>0</v>
      </c>
      <c r="L31" s="1180">
        <f t="shared" si="18"/>
        <v>0</v>
      </c>
      <c r="M31" s="1180">
        <f t="shared" si="18"/>
        <v>0</v>
      </c>
      <c r="N31" s="1180">
        <f t="shared" si="18"/>
        <v>77</v>
      </c>
      <c r="O31" s="1180">
        <f t="shared" si="18"/>
        <v>0</v>
      </c>
      <c r="P31" s="1180">
        <f t="shared" si="18"/>
        <v>0</v>
      </c>
      <c r="Q31" s="1119">
        <f t="shared" si="18"/>
        <v>563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2532</v>
      </c>
      <c r="AC31" s="1118">
        <f t="shared" si="19"/>
        <v>299</v>
      </c>
      <c r="AD31" s="1118">
        <f t="shared" si="19"/>
        <v>0</v>
      </c>
      <c r="AE31" s="1118">
        <f t="shared" si="19"/>
        <v>0</v>
      </c>
      <c r="AF31" s="1125">
        <f t="shared" si="19"/>
        <v>3604</v>
      </c>
      <c r="AG31" s="1125">
        <f t="shared" si="19"/>
        <v>0</v>
      </c>
      <c r="AH31" s="1125">
        <f t="shared" si="19"/>
        <v>158</v>
      </c>
      <c r="AI31" s="1125">
        <f t="shared" si="19"/>
        <v>0</v>
      </c>
      <c r="AJ31" s="1118">
        <f t="shared" si="19"/>
        <v>0</v>
      </c>
      <c r="AK31" s="1125">
        <f t="shared" si="19"/>
        <v>0</v>
      </c>
      <c r="AL31" s="1125">
        <f t="shared" si="19"/>
        <v>0</v>
      </c>
      <c r="AM31" s="1125">
        <f t="shared" si="19"/>
        <v>10491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742</v>
      </c>
      <c r="BD31" s="1117">
        <f t="shared" si="19"/>
        <v>2146</v>
      </c>
      <c r="BE31" s="1117">
        <f t="shared" si="19"/>
        <v>0</v>
      </c>
      <c r="BF31" s="1127">
        <f t="shared" si="19"/>
        <v>0</v>
      </c>
      <c r="BG31" s="1223">
        <f>IF(ISNUMBER(Datos!K31/Datos!J31),Datos!K31/Datos!J31," - ")</f>
        <v>0.89457004014367214</v>
      </c>
      <c r="BH31" s="1223">
        <f>IF(ISNUMBER(((Datos!L31/Datos!K31)*11)/factor_trimestre),((Datos!L31/Datos!K31)*11)/factor_trimestre," - ")</f>
        <v>8.6584789796882387</v>
      </c>
      <c r="BI31" s="1103">
        <f>IF(ISNUMBER(Datos!J31/Datos!I31),Datos!J31/Datos!I31," - ")</f>
        <v>0.39310631229235882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-0.73797726610317693</v>
      </c>
      <c r="BM31" s="1188">
        <f>IF(ISNUMBER((Datos!P31-Datos!Q31+R31)/(Datos!R31-Datos!P31+Datos!Q31-R31)),(Datos!P31-Datos!Q31+R31)/(Datos!R31-Datos!P31+Datos!Q31-R31)," - ")</f>
        <v>2.5814021707245526E-2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1144.5714285714287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3.7696851746252595</v>
      </c>
      <c r="F33" s="673">
        <f>IF(ISNUMBER(STDEV(F8:F30)),STDEV(F8:F30),"-")</f>
        <v>1686.5112708389074</v>
      </c>
      <c r="G33" s="674">
        <f>IF(ISNUMBER(STDEV(G8:G30)),STDEV(G8:G30),"-")</f>
        <v>1795.0495682239398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1191.0812814613532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199.7476980021118</v>
      </c>
      <c r="BD33" s="673"/>
      <c r="BE33" s="673">
        <f>IF(ISNUMBER(STDEV(BE8:BE30)),STDEV(BE8:BE30),"-")</f>
        <v>0</v>
      </c>
      <c r="BF33" s="678">
        <f>IF(ISNUMBER(STDEV(BF8:BF30)),STDEV(BF8:BF30),"-")</f>
        <v>0</v>
      </c>
      <c r="BG33" s="1052">
        <f>IF(ISNUMBER(STDEV(BG8:BG30)),STDEV(BG8:BG30),"-")</f>
        <v>0.1576551112799634</v>
      </c>
      <c r="BH33" s="1058">
        <f>IF(ISNUMBER(STDEV(BH8:BH30)),STDEV(BH8:BH30),"-")</f>
        <v>9.3527723599738177</v>
      </c>
      <c r="BI33" s="273">
        <f>IF(ISNUMBER(STDEV(BI8:BI30)),STDEV(BI8:BI30),"-")</f>
        <v>8.0680441060273056E-2</v>
      </c>
      <c r="BJ33" s="244" t="str">
        <f>IF(ISNUMBER(BL33/BM33),BL33/BM33," - ")</f>
        <v xml:space="preserve"> - </v>
      </c>
      <c r="BK33" s="709"/>
      <c r="BL33" s="681">
        <f>IF(ISNUMBER(STDEV(BL8:BL30)),STDEV(BL8:BL30),"-")</f>
        <v>0.46027562865252641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ysTK+cALCwvkryjcam83UhA4ppodNAJj0rLxnhVWphputIuDhd84gKmlpfrqF7xZDF/cp5Lv9n8Xam35pfIjg==" saltValue="izw9oeY4yocbcp3oHdc+3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VILANOVA I LA GELTRU</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111</v>
      </c>
      <c r="G10" s="552">
        <f>IF(ISNUMBER(Datos!I10),Datos!I10," - ")</f>
        <v>111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115</v>
      </c>
      <c r="AB10" s="549"/>
      <c r="AC10" s="549"/>
      <c r="AD10" s="563"/>
      <c r="AE10" s="563">
        <f>IF(ISNUMBER(Datos!R10),Datos!R10," - ")</f>
        <v>41</v>
      </c>
      <c r="AF10" s="693" t="str">
        <f>IF(ISNUMBER(Datos!BV10),Datos!BV10," - ")</f>
        <v xml:space="preserve"> - </v>
      </c>
      <c r="AG10" s="552" t="str">
        <f>IF(ISNUMBER(Datos!DV10),Datos!DV10," - ")</f>
        <v xml:space="preserve"> - </v>
      </c>
      <c r="AH10" s="553"/>
      <c r="AI10" s="554"/>
      <c r="AJ10" s="552">
        <f>IF(ISNUMBER(Datos!M10),Datos!M10," - ")</f>
        <v>7</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28.750000000000004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9</v>
      </c>
      <c r="B12" s="746" t="s">
        <v>321</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461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229</v>
      </c>
      <c r="AA12" s="551" t="str">
        <f>IF(ISNUMBER(IF(J_V="SI",Datos!L12,Datos!L12+Datos!AB12)-IF(Monitorios="SI",Datos!CD12,0)),
                          IF(J_V="SI",Datos!L12,Datos!L12+Datos!AB12)-IF(Monitorios="SI",Datos!CD12,0),
                          " - ")</f>
        <v xml:space="preserve"> - </v>
      </c>
      <c r="AB12" s="549"/>
      <c r="AC12" s="549"/>
      <c r="AD12" s="563"/>
      <c r="AE12" s="563">
        <f>IF(ISNUMBER(Datos!R12),Datos!R12," - ")</f>
        <v>9990</v>
      </c>
      <c r="AF12" s="693" t="str">
        <f>IF(ISNUMBER(Datos!BV12),Datos!BV12," - ")</f>
        <v xml:space="preserve"> - </v>
      </c>
      <c r="AG12" s="552" t="str">
        <f>IF(ISNUMBER(Datos!DV12),Datos!DV12," - ")</f>
        <v xml:space="preserve"> - </v>
      </c>
      <c r="AH12" s="553"/>
      <c r="AI12" s="554"/>
      <c r="AJ12" s="552">
        <f>IF(ISNUMBER(Datos!M12),Datos!M12," - ")</f>
        <v>421</v>
      </c>
      <c r="AK12" s="693">
        <f>IF(ISNUMBER(Datos!N12),Datos!N12," - ")</f>
        <v>714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14.713247624371158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2.377536380405821E-2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111</v>
      </c>
      <c r="G14" s="1197">
        <f>SUBTOTAL(9,G8:G13)</f>
        <v>111</v>
      </c>
      <c r="H14" s="1211"/>
      <c r="I14" s="1197">
        <f t="shared" ref="I14:N14" si="1">SUBTOTAL(9,I8:I13)</f>
        <v>0</v>
      </c>
      <c r="J14" s="1164">
        <f t="shared" si="1"/>
        <v>0</v>
      </c>
      <c r="K14" s="1211">
        <f t="shared" si="1"/>
        <v>0</v>
      </c>
      <c r="L14" s="1211">
        <f t="shared" si="1"/>
        <v>0</v>
      </c>
      <c r="M14" s="1211">
        <f t="shared" si="1"/>
        <v>0</v>
      </c>
      <c r="N14" s="1211">
        <f t="shared" si="1"/>
        <v>461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229</v>
      </c>
      <c r="AA14" s="1199">
        <f t="shared" si="3"/>
        <v>115</v>
      </c>
      <c r="AB14" s="1199">
        <f t="shared" si="3"/>
        <v>0</v>
      </c>
      <c r="AC14" s="1199">
        <f t="shared" si="3"/>
        <v>0</v>
      </c>
      <c r="AD14" s="1199">
        <f t="shared" si="3"/>
        <v>0</v>
      </c>
      <c r="AE14" s="1199">
        <f t="shared" si="3"/>
        <v>10031</v>
      </c>
      <c r="AF14" s="1211">
        <f t="shared" si="3"/>
        <v>0</v>
      </c>
      <c r="AG14" s="1211">
        <f t="shared" si="3"/>
        <v>0</v>
      </c>
      <c r="AH14" s="1211">
        <f t="shared" si="3"/>
        <v>0</v>
      </c>
      <c r="AI14" s="1211">
        <f t="shared" si="3"/>
        <v>0</v>
      </c>
      <c r="AJ14" s="1211">
        <f t="shared" si="3"/>
        <v>428</v>
      </c>
      <c r="AK14" s="1211">
        <f t="shared" si="3"/>
        <v>714</v>
      </c>
      <c r="AL14" s="1211">
        <f t="shared" si="3"/>
        <v>0</v>
      </c>
      <c r="AM14" s="1211">
        <f t="shared" si="3"/>
        <v>0</v>
      </c>
      <c r="AN14" s="1211">
        <f t="shared" si="3"/>
        <v>0</v>
      </c>
      <c r="AO14" s="1203">
        <f>IF(ISNUMBER(((NºAsuntos!I14/NºAsuntos!G14)*11)/factor_trimestre),((NºAsuntos!I14/NºAsuntos!G14)*11)/factor_trimestre," - ")</f>
        <v>14.806774014436426</v>
      </c>
      <c r="AP14" s="1213" t="str">
        <f>IF(ISNUMBER(Datos!CI14/Datos!CJ14),Datos!CI14/Datos!CJ14," - ")</f>
        <v xml:space="preserve"> - </v>
      </c>
      <c r="AQ14" s="1236">
        <f t="shared" ref="AQ14:AV14" si="4">SUBTOTAL(9,AQ9:AQ13)</f>
        <v>0</v>
      </c>
      <c r="AR14" s="1236">
        <f t="shared" si="4"/>
        <v>2.377536380405821E-2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9</v>
      </c>
      <c r="B17" s="746" t="s">
        <v>511</v>
      </c>
      <c r="C17" s="765" t="str">
        <f>Datos!A17</f>
        <v xml:space="preserve">Jdos. 1ª Instª. e Instr.                        </v>
      </c>
      <c r="D17" s="593"/>
      <c r="E17" s="1558">
        <f>IF(ISNUMBER(Datos!AQ17),Datos!AQ17," - ")</f>
        <v>9</v>
      </c>
      <c r="F17" s="543">
        <f>IF(ISNUMBER(AA17+Y17-Datos!J17-K16),AA17+Y17-Datos!J17-K16," - ")</f>
        <v>3320</v>
      </c>
      <c r="G17" s="552">
        <f>IF(ISNUMBER(IF(D_I="SI",Datos!I17,Datos!I17+Datos!AC17)),IF(D_I="SI",Datos!I17,Datos!I17+Datos!AC17)," - ")</f>
        <v>3639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2411</v>
      </c>
      <c r="Z17" s="805">
        <f>IF(ISNUMBER(Datos!Q17),Datos!Q17," - ")</f>
        <v>70</v>
      </c>
      <c r="AA17" s="551">
        <f>IF(ISNUMBER(IF(D_I="SI",Datos!L17,Datos!L17+Datos!AF17)),IF(D_I="SI",Datos!L17,Datos!L17+Datos!AF17)," - ")</f>
        <v>3190</v>
      </c>
      <c r="AB17" s="549"/>
      <c r="AC17" s="549"/>
      <c r="AD17" s="563"/>
      <c r="AE17" s="563">
        <f>IF(ISNUMBER(Datos!R17),Datos!R17," - ")</f>
        <v>457</v>
      </c>
      <c r="AF17" s="693" t="str">
        <f>IF(ISNUMBER(Datos!BV17),Datos!BV17," - ")</f>
        <v xml:space="preserve"> - </v>
      </c>
      <c r="AG17" s="552"/>
      <c r="AH17" s="553"/>
      <c r="AI17" s="554"/>
      <c r="AJ17" s="552">
        <f>IF(ISNUMBER(Datos!M17),Datos!M17," - ")</f>
        <v>309</v>
      </c>
      <c r="AK17" s="693">
        <f>IF(ISNUMBER(Datos!N17),Datos!N17," - ")</f>
        <v>1376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3.9693073413521365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109</v>
      </c>
      <c r="Z18" s="805">
        <f>IF(ISNUMBER(Datos!Q18),Datos!Q18," - ")</f>
        <v>0</v>
      </c>
      <c r="AA18" s="551">
        <f>IF(ISNUMBER(Datos!L18),Datos!L18,"-")</f>
        <v>299</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5</v>
      </c>
      <c r="AK18" s="693">
        <f>IF(ISNUMBER(Datos!N18),Datos!N18," - ")</f>
        <v>56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8.2293577981651396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3320</v>
      </c>
      <c r="G23" s="1197">
        <f>SUBTOTAL(9,G16:G22)</f>
        <v>3895</v>
      </c>
      <c r="H23" s="1240">
        <f>SUBTOTAL(9,H16:H22)</f>
        <v>0</v>
      </c>
      <c r="I23" s="1217">
        <f>SUBTOTAL(9,I16:I22)</f>
        <v>0</v>
      </c>
      <c r="J23" s="1164">
        <f>SUBTOTAL(9,J15:J22)</f>
        <v>0</v>
      </c>
      <c r="K23" s="1240">
        <f t="shared" ref="K23:S23" si="5">SUBTOTAL(9,K16:K22)</f>
        <v>0</v>
      </c>
      <c r="L23" s="1240">
        <f t="shared" si="5"/>
        <v>0</v>
      </c>
      <c r="M23" s="1240">
        <f t="shared" si="5"/>
        <v>0</v>
      </c>
      <c r="N23" s="1240">
        <f t="shared" si="5"/>
        <v>102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2520</v>
      </c>
      <c r="Z23" s="1240">
        <f t="shared" si="6"/>
        <v>70</v>
      </c>
      <c r="AA23" s="1240">
        <f t="shared" si="6"/>
        <v>3489</v>
      </c>
      <c r="AB23" s="1240">
        <f t="shared" si="6"/>
        <v>0</v>
      </c>
      <c r="AC23" s="1240">
        <f t="shared" si="6"/>
        <v>0</v>
      </c>
      <c r="AD23" s="1240">
        <f t="shared" si="6"/>
        <v>0</v>
      </c>
      <c r="AE23" s="1240">
        <f t="shared" si="6"/>
        <v>460</v>
      </c>
      <c r="AF23" s="1240">
        <f t="shared" si="6"/>
        <v>0</v>
      </c>
      <c r="AG23" s="1240">
        <f t="shared" si="6"/>
        <v>0</v>
      </c>
      <c r="AH23" s="1240">
        <f t="shared" si="6"/>
        <v>0</v>
      </c>
      <c r="AI23" s="1240">
        <f t="shared" si="6"/>
        <v>0</v>
      </c>
      <c r="AJ23" s="1240">
        <f t="shared" si="6"/>
        <v>314</v>
      </c>
      <c r="AK23" s="1240">
        <f t="shared" si="6"/>
        <v>1432</v>
      </c>
      <c r="AL23" s="1240">
        <f t="shared" si="6"/>
        <v>0</v>
      </c>
      <c r="AM23" s="1240">
        <f t="shared" si="6"/>
        <v>0</v>
      </c>
      <c r="AN23" s="1240">
        <f t="shared" si="6"/>
        <v>0</v>
      </c>
      <c r="AO23" s="1242">
        <f>IF(ISNUMBER(((NºAsuntos!I23/NºAsuntos!G23)*11)/factor_trimestre),((NºAsuntos!I23/NºAsuntos!G23)*11)/factor_trimestre," - ")</f>
        <v>4.1535714285714285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3431</v>
      </c>
      <c r="G31" s="1117">
        <f t="shared" si="12"/>
        <v>4006</v>
      </c>
      <c r="H31" s="1118">
        <f t="shared" si="12"/>
        <v>0</v>
      </c>
      <c r="I31" s="1117">
        <f t="shared" si="12"/>
        <v>0</v>
      </c>
      <c r="J31" s="1119">
        <f t="shared" si="12"/>
        <v>0</v>
      </c>
      <c r="K31" s="1117">
        <f t="shared" si="12"/>
        <v>0</v>
      </c>
      <c r="L31" s="1120">
        <f t="shared" si="12"/>
        <v>0</v>
      </c>
      <c r="M31" s="1117">
        <f t="shared" si="12"/>
        <v>0</v>
      </c>
      <c r="N31" s="1118">
        <f t="shared" si="12"/>
        <v>563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2532</v>
      </c>
      <c r="Z31" s="1124">
        <f t="shared" si="13"/>
        <v>299</v>
      </c>
      <c r="AA31" s="1125">
        <f t="shared" si="13"/>
        <v>3604</v>
      </c>
      <c r="AB31" s="1125">
        <f t="shared" si="13"/>
        <v>0</v>
      </c>
      <c r="AC31" s="1125">
        <f t="shared" si="13"/>
        <v>0</v>
      </c>
      <c r="AD31" s="1126">
        <f t="shared" si="13"/>
        <v>0</v>
      </c>
      <c r="AE31" s="1126">
        <f t="shared" si="13"/>
        <v>10491</v>
      </c>
      <c r="AF31" s="1127">
        <f t="shared" si="13"/>
        <v>0</v>
      </c>
      <c r="AG31" s="1128">
        <f t="shared" si="13"/>
        <v>0</v>
      </c>
      <c r="AH31" s="1129">
        <f t="shared" si="13"/>
        <v>0</v>
      </c>
      <c r="AI31" s="1127">
        <f t="shared" si="13"/>
        <v>0</v>
      </c>
      <c r="AJ31" s="1117">
        <f t="shared" si="13"/>
        <v>742</v>
      </c>
      <c r="AK31" s="1117">
        <f t="shared" si="13"/>
        <v>2146</v>
      </c>
      <c r="AL31" s="1117">
        <f t="shared" si="13"/>
        <v>0</v>
      </c>
      <c r="AM31" s="1130">
        <f t="shared" si="13"/>
        <v>0</v>
      </c>
      <c r="AN31" s="1120">
        <f>IF(ISNUMBER(Datos!K31/Datos!J31),Datos!K31/Datos!J31," - ")</f>
        <v>0.89457004014367214</v>
      </c>
      <c r="AO31" s="1120">
        <f>IF(ISNUMBER(FIND("06",Criterios!A8,1)),(IF(ISNUMBER(((Datos!R31/Datos!Q31)*11)/factor_trimestre),((Datos!R31/Datos!Q31)*11)/factor_trimestre," - ")),(IF(ISNUMBER(((Datos!L31/Datos!K31)*11)/factor_trimestre),((Datos!L31/Datos!K31)*11)/factor_trimestre," - ")))</f>
        <v>8.6584789796882387</v>
      </c>
      <c r="AP31" s="1131" t="str">
        <f>IF(ISNUMBER(Datos!CI31/Datos!CJ31),Datos!CI31/Datos!CJ31," - ")</f>
        <v xml:space="preserve"> - </v>
      </c>
      <c r="AQ31" s="1131">
        <f>IF(OR(ISNUMBER(FIND("01",Criterios!A8,1)),ISNUMBER(FIND("02",Criterios!A8,1)),ISNUMBER(FIND("03",Criterios!A8,1)),ISNUMBER(FIND("04",Criterios!A8,1))),(J31-Y31+K31)/(F31-K31),(I31-Y31+K31)/(F31-K31))</f>
        <v>-0.73797726610317693</v>
      </c>
      <c r="AR31" s="1131">
        <f>IF(ISNUMBER((Datos!P31-Datos!Q31+O31)/(Datos!R31-Datos!P31+Datos!Q31-O31)),(Datos!P31-Datos!Q31+O31)/(Datos!R31-Datos!P31+Datos!Q31-O31)," - ")</f>
        <v>2.5814021707245526E-2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1144.5714285714287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1686.5112708389074</v>
      </c>
      <c r="G33" s="674">
        <f>IF(ISNUMBER(STDEV(G8:G30)),STDEV(G8:G30),"-")</f>
        <v>1795.0495682239398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199.7476980021118</v>
      </c>
      <c r="AK33" s="276"/>
      <c r="AL33" s="276">
        <f>IF(ISNUMBER(STDEV(AL8:AL30)),STDEV(AL8:AL30),"-")</f>
        <v>0</v>
      </c>
      <c r="AM33" s="278">
        <f>IF(ISNUMBER(STDEV(AM8:AM30)),STDEV(AM8:AM30),"-")</f>
        <v>0</v>
      </c>
      <c r="AN33" s="660">
        <f>IF(ISNUMBER(STDEV(AN8:AN30)),STDEV(AN8:AN30),"-")</f>
        <v>0</v>
      </c>
      <c r="AO33" s="661">
        <f>IF(ISNUMBER(STDEV(AO8:AO30)),STDEV(AO8:AO30),"-")</f>
        <v>9.3266538680684565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mrUTzqHtU2Q/528X+KSQQtR1YPzEOoKsZFukkQRYYT8Q9jPZHMxg9QpUhB9ym2AHJ/MaCoJreptyUrhoLe+A==" saltValue="UattqbNhaGyoE1q0KxSV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4eY8Q/P/keEGENgVBT8oCP+zHVc4MiacyvPllFnuBZy6AO6qbNlo48AX74SMWUcEFs/iLsBbWNnGPKZR33C8A==" saltValue="iTOS4+hjU+xlt0bTZVdj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zroGl1CyHvtUyEvduIxZAO7iSGNrRW2ywPqP47ue7rL9Xc4iZESWV8IlCmVK5GlhJ0qJccVYIisi2hk3DUfVQ==" saltValue="xQ65Vv29/OGKDYIb8EiC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VILANOVA I LA GELTRU</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0.23764575235980012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0.16804092301379364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v9cli5WVsSJcrkymyhbE9lKM/wDdRHPdoWiqv+hqaDhCZQnIaN9ESnI1rIeh5XsybhqBRslBLanDja0dQ+k9PA==" saltValue="NAQA67prTt0STBNUUMpvf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U+E6hB2KCAZ1dGQ8XJ5TEclXXCtebrWnW18+HbmVpkXPDJqF+oY7UCTTYx4/TQbT3QMzP9FyjiIE0H7RP+yXw==" saltValue="VIYC15xwbsu4vQzhkg3d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VILANOVA I LA GELTRU</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111</v>
      </c>
      <c r="D10" s="452">
        <f>IF(ISNUMBER(C10/Datos!BH10),C10/Datos!BH10," - ")</f>
        <v>111</v>
      </c>
      <c r="E10" s="451">
        <f>IF(ISNUMBER(Datos!J10),Datos!J10," - ")</f>
        <v>16</v>
      </c>
      <c r="F10" s="452">
        <f>IF(ISNUMBER(E10/B10),E10/B10," - ")</f>
        <v>16</v>
      </c>
      <c r="G10" s="451">
        <f>IF(ISNUMBER(Datos!K10),Datos!K10," - ")</f>
        <v>12</v>
      </c>
      <c r="H10" s="452">
        <f>IF(ISNUMBER(G10/B10),G10/B10," - ")</f>
        <v>12</v>
      </c>
      <c r="I10" s="451">
        <f>IF(ISNUMBER(Datos!L10),Datos!L10," - ")</f>
        <v>115</v>
      </c>
      <c r="J10" s="452">
        <f>IF(ISNUMBER(I10/B10),I10/B10," - ")</f>
        <v>115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8202</v>
      </c>
      <c r="D12" s="452">
        <f>IF(ISNUMBER(C12/Datos!BH12),C12/Datos!BH12," - ")</f>
        <v>911.33333333333337</v>
      </c>
      <c r="E12" s="451">
        <f>IF(ISNUMBER(IF(J_V="SI",Datos!J12,Datos!J12+Datos!Z12)),IF(J_V="SI",Datos!J12,Datos!J12+Datos!Z12)," - ")</f>
        <v>2361</v>
      </c>
      <c r="F12" s="452">
        <f>IF(ISNUMBER(E12/B12),E12/B12," - ")</f>
        <v>262.33333333333331</v>
      </c>
      <c r="G12" s="451">
        <f>IF(ISNUMBER(IF(J_V="SI",Datos!K12,Datos!K12+Datos!AA12)),IF(J_V="SI",Datos!K12,Datos!K12+Datos!AA12)," - ")</f>
        <v>1789</v>
      </c>
      <c r="H12" s="452">
        <f>IF(ISNUMBER(G12/B12),G12/B12," - ")</f>
        <v>198.77777777777777</v>
      </c>
      <c r="I12" s="451">
        <f>IF(ISNUMBER(IF(J_V="SI",Datos!L12,Datos!L12+Datos!AB12)),IF(J_V="SI",Datos!L12,Datos!L12+Datos!AB12)," - ")</f>
        <v>8774</v>
      </c>
      <c r="J12" s="452">
        <f>IF(ISNUMBER(I12/B12),I12/B12," - ")</f>
        <v>974.88888888888891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8313</v>
      </c>
      <c r="D14" s="1147" t="str">
        <f>IF(ISNUMBER(C14/Datos!BI14),C14/Datos!BI14," - ")</f>
        <v xml:space="preserve"> - </v>
      </c>
      <c r="E14" s="1146">
        <f>SUBTOTAL(9,E8:E13)</f>
        <v>2377</v>
      </c>
      <c r="F14" s="1147">
        <f>IF(ISNUMBER(E14/B14),E14/B14," - ")</f>
        <v>264.11111111111109</v>
      </c>
      <c r="G14" s="1146">
        <f>SUBTOTAL(9,G8:G13)</f>
        <v>1801</v>
      </c>
      <c r="H14" s="1147">
        <f>IF(ISNUMBER(G14/B14),G14/B14," - ")</f>
        <v>200.11111111111111</v>
      </c>
      <c r="I14" s="1146">
        <f>SUBTOTAL(9,I8:I13)</f>
        <v>8889</v>
      </c>
      <c r="J14" s="1147">
        <f>IF(ISNUMBER(I14/B14),I14/B14," - ")</f>
        <v>987.66666666666663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3639</v>
      </c>
      <c r="D17" s="452">
        <f>IF(ISNUMBER(C17/Datos!BH17),C17/Datos!BH17," - ")</f>
        <v>404.33333333333331</v>
      </c>
      <c r="E17" s="451">
        <f>IF(ISNUMBER(IF(D_I="SI",Datos!J17,Datos!J17+Datos!AD17)),IF(D_I="SI",Datos!J17,Datos!J17+Datos!AD17)," - ")</f>
        <v>2281</v>
      </c>
      <c r="F17" s="452">
        <f>IF(ISNUMBER(E17/B17),E17/B17," - ")</f>
        <v>253.44444444444446</v>
      </c>
      <c r="G17" s="451">
        <f>IF(ISNUMBER(IF(D_I="SI",Datos!K17,Datos!K17+Datos!AE17)),IF(D_I="SI",Datos!K17,Datos!K17+Datos!AE17)," - ")</f>
        <v>2411</v>
      </c>
      <c r="H17" s="452">
        <f>IF(ISNUMBER(G17/B17),G17/B17," - ")</f>
        <v>267.88888888888891</v>
      </c>
      <c r="I17" s="451">
        <f>IF(ISNUMBER(IF(D_I="SI",Datos!L17,Datos!L17+Datos!AF17)),IF(D_I="SI",Datos!L17,Datos!L17+Datos!AF17)," - ")</f>
        <v>3190</v>
      </c>
      <c r="J17" s="452">
        <f>IF(ISNUMBER(I17/B17),I17/B17," - ")</f>
        <v>354.44444444444446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256</v>
      </c>
      <c r="D18" s="452">
        <f>IF(ISNUMBER(C18/Datos!BH18),C18/Datos!BH18," - ")</f>
        <v>256</v>
      </c>
      <c r="E18" s="451">
        <f>IF(ISNUMBER(IF(D_I="SI",Datos!J18,Datos!J18+Datos!AD18)),IF(D_I="SI",Datos!J18,Datos!J18+Datos!AD18)," - ")</f>
        <v>152</v>
      </c>
      <c r="F18" s="452">
        <f>IF(ISNUMBER(E18/B18),E18/B18," - ")</f>
        <v>152</v>
      </c>
      <c r="G18" s="451">
        <f>IF(ISNUMBER(IF(D_I="SI",Datos!K18,Datos!K18+Datos!AE18)),IF(D_I="SI",Datos!K18,Datos!K18+Datos!AE18)," - ")</f>
        <v>109</v>
      </c>
      <c r="H18" s="452">
        <f>IF(ISNUMBER(G18/B18),G18/B18," - ")</f>
        <v>109</v>
      </c>
      <c r="I18" s="451">
        <f>IF(ISNUMBER(IF(D_I="SI",Datos!L18,Datos!L18+Datos!AF18)),IF(D_I="SI",Datos!L18,Datos!L18+Datos!AF18)," - ")</f>
        <v>299</v>
      </c>
      <c r="J18" s="452">
        <f>IF(ISNUMBER(I18/B18),I18/B18," - ")</f>
        <v>299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3895</v>
      </c>
      <c r="D23" s="1147" t="str">
        <f>IF(ISNUMBER(C23/Datos!BI23),C23/Datos!BI23," - ")</f>
        <v xml:space="preserve"> - </v>
      </c>
      <c r="E23" s="1146">
        <f>SUBTOTAL(9,E15:E22)</f>
        <v>2433</v>
      </c>
      <c r="F23" s="1147">
        <f>IF(ISNUMBER(E23/B23),E23/B23," - ")</f>
        <v>270.33333333333331</v>
      </c>
      <c r="G23" s="1146">
        <f>SUBTOTAL(9,G15:G22)</f>
        <v>2520</v>
      </c>
      <c r="H23" s="1147">
        <f>IF(ISNUMBER(G23/B23),G23/B23," - ")</f>
        <v>280</v>
      </c>
      <c r="I23" s="1146">
        <f>SUBTOTAL(9,I15:I22)</f>
        <v>3489</v>
      </c>
      <c r="J23" s="1147">
        <f>IF(ISNUMBER(I23/B23),I23/B23," - ")</f>
        <v>387.66666666666669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12208</v>
      </c>
      <c r="D31" s="1085" t="str">
        <f>IF(ISNUMBER(C31/Datos!BI31),C31/Datos!BI31," - ")</f>
        <v xml:space="preserve"> - </v>
      </c>
      <c r="E31" s="1084">
        <f>SUBTOTAL(9,E9:E30)</f>
        <v>4810</v>
      </c>
      <c r="F31" s="1085">
        <f>IF(ISNUMBER(E31/B31),E31/B31," - ")</f>
        <v>534.44444444444446</v>
      </c>
      <c r="G31" s="1084">
        <f>SUBTOTAL(9,G9:G30)</f>
        <v>4321</v>
      </c>
      <c r="H31" s="1085">
        <f>IF(ISNUMBER(G31/B31),G31/B31," - ")</f>
        <v>480.11111111111109</v>
      </c>
      <c r="I31" s="1084">
        <f>SUBTOTAL(9,I9:I30)</f>
        <v>12378</v>
      </c>
      <c r="J31" s="1085">
        <f>IF(ISNUMBER(I31/B31),I31/B31," - ")</f>
        <v>1375.3333333333333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WE8avLV/PKp0wYc3g6tx7uspK/ABBe40+ZOSwITofG5xcmysci29XgaxywAao+iilM+lB7fZK2Nm65gugbmzw==" saltValue="uNdFLZ8Qr3W8oIyZe4YR8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VILANOVA I LA GELTRU</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111</v>
      </c>
      <c r="G10" s="906">
        <f>IF(ISNUMBER(Datos!I10),Datos!I10," - ")</f>
        <v>111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115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28.750000000000004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321</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461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9990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421</v>
      </c>
      <c r="AM12" s="914">
        <f>IF(ISNUMBER(Datos!N12+DatosP!N17),Datos!N12+DatosP!N17," - ")</f>
        <v>714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14.713247624371158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2.377536380405821E-2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111</v>
      </c>
      <c r="G14" s="1256">
        <f t="shared" si="0"/>
        <v>111</v>
      </c>
      <c r="H14" s="1256">
        <f t="shared" si="0"/>
        <v>0</v>
      </c>
      <c r="I14" s="1258">
        <f t="shared" si="0"/>
        <v>0</v>
      </c>
      <c r="J14" s="1257">
        <f t="shared" si="0"/>
        <v>0</v>
      </c>
      <c r="K14" s="1257">
        <f t="shared" si="0"/>
        <v>0</v>
      </c>
      <c r="L14" s="1259">
        <f t="shared" si="0"/>
        <v>0</v>
      </c>
      <c r="M14" s="1259">
        <f t="shared" si="0"/>
        <v>0</v>
      </c>
      <c r="N14" s="1257">
        <f t="shared" si="0"/>
        <v>461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229</v>
      </c>
      <c r="AE14" s="1257">
        <f t="shared" si="1"/>
        <v>0</v>
      </c>
      <c r="AF14" s="1257">
        <f t="shared" si="1"/>
        <v>115</v>
      </c>
      <c r="AG14" s="1257">
        <f t="shared" si="1"/>
        <v>0</v>
      </c>
      <c r="AH14" s="1257">
        <f t="shared" si="1"/>
        <v>9990</v>
      </c>
      <c r="AI14" s="1257">
        <f t="shared" si="1"/>
        <v>0</v>
      </c>
      <c r="AJ14" s="1257">
        <f t="shared" si="1"/>
        <v>0</v>
      </c>
      <c r="AK14" s="1257">
        <f t="shared" si="1"/>
        <v>0</v>
      </c>
      <c r="AL14" s="1257">
        <f t="shared" si="1"/>
        <v>428</v>
      </c>
      <c r="AM14" s="1257">
        <f t="shared" si="1"/>
        <v>714</v>
      </c>
      <c r="AN14" s="1257">
        <f t="shared" si="1"/>
        <v>0</v>
      </c>
      <c r="AO14" s="1257">
        <f t="shared" si="1"/>
        <v>0</v>
      </c>
      <c r="AP14" s="1262">
        <f>IF(ISNUMBER(((Datos!L14/Datos!K14)*11)/factor_trimestre),((Datos!L14/Datos!K14)*11)/factor_trimestre," - ")</f>
        <v>15.281796966161027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-0.10810810810810811</v>
      </c>
      <c r="AU14" s="1257" t="str">
        <f>IF(ISNUMBER((DatosP!#REF!-DatosP!#REF!+DatosP!#REF!)/(DatosP!#REF!+DatosP!#REF!-DatosP!#REF!-DatosP!#REF!)),(DatosP!#REF!-DatosP!#REF!+DatosP!#REF!)/(DatosP!#REF!+DatosP!#REF!-DatosP!#REF!-DatosP!#REF!)," - ")</f>
        <v xml:space="preserve"> - </v>
      </c>
      <c r="AV14" s="1263">
        <f>SUBTOTAL(9,AV9:AV13)</f>
        <v>2.377536380405821E-2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4.1535714285714285</v>
      </c>
      <c r="AQ23" s="1262">
        <f>IF(ISNUMBER(((Datos!M23/Datos!L23)*11)/factor_trimestre),((Datos!M23/Datos!L23)*11)/factor_trimestre," - ")</f>
        <v>0.26999140154772144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7.476635514018691E-2</v>
      </c>
      <c r="AW23" s="1265">
        <f>IF(ISNUMBER((Datos!Q23-Datos!R23)/(Datos!S23-Datos!Q23+Datos!R23)),(Datos!Q23-Datos!R23)/(Datos!S23-Datos!Q23+Datos!R23)," - ")</f>
        <v>-0.10458567980691874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111</v>
      </c>
      <c r="G31" s="1278">
        <f t="shared" si="8"/>
        <v>111</v>
      </c>
      <c r="H31" s="1278">
        <f t="shared" si="8"/>
        <v>0</v>
      </c>
      <c r="I31" s="1279">
        <f t="shared" si="8"/>
        <v>0</v>
      </c>
      <c r="J31" s="1280">
        <f t="shared" si="8"/>
        <v>0</v>
      </c>
      <c r="K31" s="1280">
        <f t="shared" si="8"/>
        <v>0</v>
      </c>
      <c r="L31" s="1280">
        <f t="shared" si="8"/>
        <v>0</v>
      </c>
      <c r="M31" s="1280">
        <f t="shared" si="8"/>
        <v>0</v>
      </c>
      <c r="N31" s="1279">
        <f t="shared" si="8"/>
        <v>461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229</v>
      </c>
      <c r="AE31" s="1284">
        <f t="shared" si="9"/>
        <v>0</v>
      </c>
      <c r="AF31" s="1285">
        <f t="shared" si="9"/>
        <v>115</v>
      </c>
      <c r="AG31" s="1285">
        <f t="shared" si="9"/>
        <v>0</v>
      </c>
      <c r="AH31" s="1285">
        <f t="shared" si="9"/>
        <v>9990</v>
      </c>
      <c r="AI31" s="1285">
        <f t="shared" si="9"/>
        <v>0</v>
      </c>
      <c r="AJ31" s="1286">
        <f t="shared" si="9"/>
        <v>0</v>
      </c>
      <c r="AK31" s="1286">
        <f t="shared" si="9"/>
        <v>0</v>
      </c>
      <c r="AL31" s="1278">
        <f t="shared" si="9"/>
        <v>428</v>
      </c>
      <c r="AM31" s="1278">
        <f t="shared" si="9"/>
        <v>714</v>
      </c>
      <c r="AN31" s="1278">
        <f t="shared" si="9"/>
        <v>0</v>
      </c>
      <c r="AO31" s="1278">
        <f t="shared" si="9"/>
        <v>0</v>
      </c>
      <c r="AP31" s="1278">
        <f>IF(ISNUMBER(((Datos!L31/Datos!K31)*11)/factor_trimestre),((Datos!L31/Datos!K31)*11)/factor_trimestre," - ")</f>
        <v>8.6584789796882387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-0.10810810810810811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2.5814021707245526E-2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3.9686269665968861</v>
      </c>
      <c r="F33" s="1006">
        <f>IF(ISNUMBER(STDEV(F8:F30)),STDEV(F8:F30),"-")</f>
        <v>60.797203883073443</v>
      </c>
      <c r="G33" s="1007">
        <f>IF(ISNUMBER(STDEV(G8:G30)),STDEV(G8:G30),"-")</f>
        <v>60.797203883073443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218.33521627686787</v>
      </c>
      <c r="AM33" s="1006"/>
      <c r="AN33" s="1006">
        <f>IF(ISNUMBER(STDEV(AN8:AN30)),STDEV(AN8:AN30),"-")</f>
        <v>0</v>
      </c>
      <c r="AO33" s="1012">
        <f>IF(ISNUMBER(STDEV(AO8:AO30)),STDEV(AO8:AO30),"-")</f>
        <v>0</v>
      </c>
      <c r="AP33" s="1065">
        <f>IF(ISNUMBER(STDEV(AP8:AP30)),STDEV(AP8:AP30),"-")</f>
        <v>10.079164242859582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lTZC8cZW+XRgP6wmcHIKJR1PJ09I5gKuwdCbzgg3oIBmvWtALa1VwioBAct/bVw2srltaWuhguuMZImmv1Ftg==" saltValue="uLA8CR6OFG/PWjc891HA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VILANOVA I LA GELTRU</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6Mx5R4p+Yvlw85mU+tKej8VeuJ+IkwAInXf/Yo+ErkpKp3fc187oX4+nd07qY5o48/0gfJ6mssJx36iTFmjcA==" saltValue="noJFhsnWTZrD8tNV/6qWI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VILANOVA I LA GELTRU</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421</v>
      </c>
      <c r="E12" s="452">
        <f t="shared" si="0"/>
        <v>46.777777777777779</v>
      </c>
      <c r="F12" s="451">
        <f>IF(ISNUMBER(Datos!N12),Datos!N12," - ")</f>
        <v>714</v>
      </c>
      <c r="G12" s="452">
        <f t="shared" si="1"/>
        <v>79.333333333333329</v>
      </c>
      <c r="H12" s="451">
        <f>IF(ISNUMBER(Datos!O12),Datos!O12," - ")</f>
        <v>734</v>
      </c>
      <c r="I12" s="452">
        <f t="shared" si="2"/>
        <v>81.555555555555557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428</v>
      </c>
      <c r="E14" s="1147">
        <f t="shared" si="0"/>
        <v>42.8</v>
      </c>
      <c r="F14" s="1146">
        <f>SUBTOTAL(9,F9:F13)</f>
        <v>714</v>
      </c>
      <c r="G14" s="1147">
        <f t="shared" si="1"/>
        <v>71.400000000000006</v>
      </c>
      <c r="H14" s="1146">
        <f>SUBTOTAL(9,H9:H13)</f>
        <v>734</v>
      </c>
      <c r="I14" s="1147">
        <f>IF(ISNUMBER(H14/B14),H14/B14," - ")</f>
        <v>73.400000000000006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309</v>
      </c>
      <c r="E17" s="452">
        <f t="shared" si="3"/>
        <v>34.333333333333336</v>
      </c>
      <c r="F17" s="451">
        <f>IF(ISNUMBER(Datos!N17),Datos!N17," - ")</f>
        <v>1376</v>
      </c>
      <c r="G17" s="452">
        <f t="shared" si="4"/>
        <v>152.88888888888889</v>
      </c>
      <c r="H17" s="451">
        <f>IF(ISNUMBER(Datos!O17),Datos!O17," - ")</f>
        <v>13</v>
      </c>
      <c r="I17" s="452">
        <f t="shared" si="5"/>
        <v>1.4444444444444444</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56</v>
      </c>
      <c r="G18" s="452">
        <f>IF(ISNUMBER(F18/B18),F18/B18," - ")</f>
        <v>56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9</v>
      </c>
      <c r="D23" s="1146">
        <f>SUBTOTAL(9,D16:D22)</f>
        <v>314</v>
      </c>
      <c r="E23" s="1147">
        <f t="shared" si="3"/>
        <v>31.4</v>
      </c>
      <c r="F23" s="1146">
        <f>SUBTOTAL(9,F16:F22)</f>
        <v>1432</v>
      </c>
      <c r="G23" s="1147">
        <f t="shared" si="4"/>
        <v>143.19999999999999</v>
      </c>
      <c r="H23" s="1146">
        <f>SUBTOTAL(9,H16:H22)</f>
        <v>13</v>
      </c>
      <c r="I23" s="1147">
        <f>IF(ISNUMBER(H23/B23),H23/B23," - ")</f>
        <v>1.3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742</v>
      </c>
      <c r="E31" s="1085">
        <f>IF(ISNUMBER(D31/B31),D31/B31," - ")</f>
        <v>82.444444444444443</v>
      </c>
      <c r="F31" s="1084">
        <f>SUBTOTAL(9,F8:F30)</f>
        <v>2146</v>
      </c>
      <c r="G31" s="1085">
        <f>IF(ISNUMBER(F31/B31),F31/B31," - ")</f>
        <v>238.44444444444446</v>
      </c>
      <c r="H31" s="1084">
        <f>SUBTOTAL(9,H8:H30)</f>
        <v>747</v>
      </c>
      <c r="I31" s="1085">
        <f>IF(ISNUMBER(H31/B31),H31/B31," - ")</f>
        <v>83</v>
      </c>
    </row>
    <row r="34" spans="1:1">
      <c r="A34" s="439" t="str">
        <f>Criterios!A4</f>
        <v>Fecha Informe: 05 may. 2023</v>
      </c>
    </row>
    <row r="39" spans="1:1">
      <c r="A39" s="462"/>
    </row>
  </sheetData>
  <sheetProtection algorithmName="SHA-512" hashValue="l6acAWXkK6RY4vhvlTPgeKE3oJji7W/B8NcSUeiPxuig1O2z0OXroPTBsPp4hQdwhDrfU3yz9xQavn8+06XeXw==" saltValue="vlMyRvhar9PInhMQCDEh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VILANOVA I LA GELTRU</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461</v>
      </c>
      <c r="C12" s="489">
        <f>IF(ISNUMBER(Datos!Q12),Datos!Q12," - ")</f>
        <v>229</v>
      </c>
      <c r="D12" s="456">
        <f>IF(ISNUMBER(Datos!R12),Datos!R12," - ")</f>
        <v>9990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461</v>
      </c>
      <c r="C14" s="1150">
        <f>SUBTOTAL(9,C9:C13)</f>
        <v>229</v>
      </c>
      <c r="D14" s="1148">
        <f>SUBTOTAL(9,D9:D13)</f>
        <v>10031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102</v>
      </c>
      <c r="C17" s="489">
        <f>IF(ISNUMBER(Datos!Q17),Datos!Q17," - ")</f>
        <v>70</v>
      </c>
      <c r="D17" s="456">
        <f>IF(ISNUMBER(Datos!R17),Datos!R17," - ")</f>
        <v>457</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102</v>
      </c>
      <c r="C23" s="1150">
        <f>SUBTOTAL(9,C16:C22)</f>
        <v>70</v>
      </c>
      <c r="D23" s="1148">
        <f>SUBTOTAL(9,D16:D22)</f>
        <v>460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563</v>
      </c>
      <c r="C31" s="1089">
        <f>SUBTOTAL(9,C8:C30)</f>
        <v>299</v>
      </c>
      <c r="D31" s="1090">
        <f>SUBTOTAL(9,D8:D30)</f>
        <v>10491</v>
      </c>
    </row>
    <row r="32" spans="1:4" ht="7.5" customHeight="1"/>
    <row r="33" spans="1:1" ht="6" customHeight="1"/>
    <row r="34" spans="1:1">
      <c r="A34" s="439" t="str">
        <f>Criterios!A4</f>
        <v>Fecha Informe: 05 may. 2023</v>
      </c>
    </row>
    <row r="39" spans="1:1">
      <c r="A39" s="462"/>
    </row>
  </sheetData>
  <sheetProtection algorithmName="SHA-512" hashValue="Q8LIAQtdkUi7wa83XiYhNLzQE+R5fcYkFvJCvwM16CZ3B8GUynKbGdYhU7p2nu8wa2IpQwEA/o0FgUBMw71a3Q==" saltValue="dGh28BaMajFcOe3lcfGi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VILANOVA I LA GELTRU</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0.46052631578947367</v>
      </c>
      <c r="C10" s="515">
        <f>IF(ISNUMBER((Datos!J10-Datos!T10)/Datos!T10),(Datos!J10-Datos!T10)/Datos!T10," - ")</f>
        <v>0.6</v>
      </c>
      <c r="D10" s="515">
        <f>IF(ISNUMBER((Datos!K10-Datos!U10)/Datos!U10),(Datos!K10-Datos!U10)/Datos!U10," - ")</f>
        <v>1.4</v>
      </c>
      <c r="E10" s="515">
        <f>IF(ISNUMBER((Datos!L10-Datos!V10)/Datos!V10),(Datos!L10-Datos!V10)/Datos!V10," - ")</f>
        <v>0.41975308641975306</v>
      </c>
      <c r="F10" s="515">
        <f>IF(ISNUMBER((Datos!M10-Datos!W10)/Datos!W10),(Datos!M10-Datos!W10)/Datos!W10," - ")</f>
        <v>6</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-0.40843621399176949</v>
      </c>
      <c r="J10" s="521">
        <f>IF(ISNUMBER((('Resol  Asuntos'!D10/NºAsuntos!G10)-Datos!BF10)/Datos!BF10),(('Resol  Asuntos'!D10/NºAsuntos!G10)-Datos!BF10)/Datos!BF10," - ")</f>
        <v>1.9166666666666667</v>
      </c>
      <c r="K10" s="522">
        <f>IF(ISNUMBER((((NºAsuntos!C10+NºAsuntos!E10)/NºAsuntos!G10)-Datos!BG10)/Datos!BG10),(((NºAsuntos!C10+NºAsuntos!E10)/NºAsuntos!G10)-Datos!BG10)/Datos!BG10," - ")</f>
        <v>-0.38468992248062012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0.22271914132379247</v>
      </c>
      <c r="C12" s="515">
        <f>IF(ISNUMBER(
   IF(J_V="SI",(Datos!J12-Datos!T12)/Datos!T12,(Datos!J12+Datos!Z12-(Datos!T12+Datos!AH12))/(Datos!T12+Datos!AH12))
     ),IF(J_V="SI",(Datos!J12-Datos!T12)/Datos!T12,(Datos!J12+Datos!Z12-(Datos!T12+Datos!AH12))/(Datos!T12+Datos!AH12))," - ")</f>
        <v>0.16133792424987703</v>
      </c>
      <c r="D12" s="515">
        <f>IF(ISNUMBER(
   IF(J_V="SI",(Datos!K12-Datos!U12)/Datos!U12,(Datos!K12+Datos!AA12-(Datos!U12+Datos!AI12))/(Datos!U12+Datos!AI12))
     ),IF(J_V="SI",(Datos!K12-Datos!U12)/Datos!U12,(Datos!K12+Datos!AA12-(Datos!U12+Datos!AI12))/(Datos!U12+Datos!AI12))," - ")</f>
        <v>0.11533665835411472</v>
      </c>
      <c r="E12" s="515">
        <f>IF(ISNUMBER(
   IF(J_V="SI",(Datos!L12-Datos!V12)/Datos!V12,(Datos!L12+Datos!AB12-(Datos!V12+Datos!AJ12))/(Datos!V12+Datos!AJ12))
     ),IF(J_V="SI",(Datos!L12-Datos!V12)/Datos!V12,(Datos!L12+Datos!AB12-(Datos!V12+Datos!AJ12))/(Datos!V12+Datos!AJ12))," - ")</f>
        <v>0.22541899441340782</v>
      </c>
      <c r="F12" s="515">
        <f>IF(ISNUMBER((Datos!M12-Datos!W12)/Datos!W12),(Datos!M12-Datos!W12)/Datos!W12," - ")</f>
        <v>0.2132564841498559</v>
      </c>
      <c r="G12" s="516">
        <f>IF(ISNUMBER((Datos!N12-Datos!X12)/Datos!X12),(Datos!N12-Datos!X12)/Datos!X12," - ")</f>
        <v>0.23103448275862068</v>
      </c>
      <c r="H12" s="514">
        <f>IF(ISNUMBER(((NºAsuntos!G12/NºAsuntos!E12)-Datos!BD12)/Datos!BD12),((NºAsuntos!G12/NºAsuntos!E12)-Datos!BD12)/Datos!BD12," - ")</f>
        <v>-3.961057753752005E-2</v>
      </c>
      <c r="I12" s="515">
        <f>IF(ISNUMBER(((NºAsuntos!I12/NºAsuntos!G12)-Datos!BE12)/Datos!BE12),((NºAsuntos!I12/NºAsuntos!G12)-Datos!BE12)/Datos!BE12," - ")</f>
        <v>9.869875183851673E-2</v>
      </c>
      <c r="J12" s="521">
        <f>IF(ISNUMBER((('Resol  Asuntos'!D12/NºAsuntos!G12)-Datos!BF12)/Datos!BF12),(('Resol  Asuntos'!D12/NºAsuntos!G12)-Datos!BF12)/Datos!BF12," - ")</f>
        <v>-0.34919912877546699</v>
      </c>
      <c r="K12" s="522">
        <f>IF(ISNUMBER((((NºAsuntos!C12+NºAsuntos!E12)/NºAsuntos!G12)-Datos!BG12)/Datos!BG12),(((NºAsuntos!C12+NºAsuntos!E12)/NºAsuntos!G12)-Datos!BG12)/Datos!BG12," - ")</f>
        <v>8.3478213381052435E-2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0.22538325471698112</v>
      </c>
      <c r="C14" s="1152">
        <f>IF(ISNUMBER(
   IF(J_V="SI",(Datos!J14-Datos!T14)/Datos!T14,(Datos!J14+Datos!Z14-(Datos!T14+Datos!AH14))/(Datos!T14+Datos!AH14))
     ),IF(J_V="SI",(Datos!J14-Datos!T14)/Datos!T14,(Datos!J14+Datos!Z14-(Datos!T14+Datos!AH14))/(Datos!T14+Datos!AH14))," - ")</f>
        <v>0.16348507097405776</v>
      </c>
      <c r="D14" s="1152">
        <f>IF(ISNUMBER(
   IF(J_V="SI",(Datos!K14-Datos!U14)/Datos!U14,(Datos!K14+Datos!AA14-(Datos!U14+Datos!AI14))/(Datos!U14+Datos!AI14))
     ),IF(J_V="SI",(Datos!K14-Datos!U14)/Datos!U14,(Datos!K14+Datos!AA14-(Datos!U14+Datos!AI14))/(Datos!U14+Datos!AI14))," - ")</f>
        <v>0.11932877563704164</v>
      </c>
      <c r="E14" s="1152">
        <f>IF(ISNUMBER(
   IF(J_V="SI",(Datos!L14-Datos!V14)/Datos!V14,(Datos!L14+Datos!AB14-(Datos!V14+Datos!AJ14))/(Datos!V14+Datos!AJ14))
     ),IF(J_V="SI",(Datos!L14-Datos!V14)/Datos!V14,(Datos!L14+Datos!AB14-(Datos!V14+Datos!AJ14))/(Datos!V14+Datos!AJ14))," - ")</f>
        <v>0.22759287391244304</v>
      </c>
      <c r="F14" s="1153">
        <f>IF(ISNUMBER((Datos!M14-Datos!W14)/Datos!W14),(Datos!M14-Datos!W14)/Datos!W14," - ")</f>
        <v>0.22988505747126436</v>
      </c>
      <c r="G14" s="1154">
        <f>IF(ISNUMBER((Datos!N14-Datos!X14)/Datos!X14),(Datos!N14-Datos!X14)/Datos!X14," - ")</f>
        <v>0.23103448275862068</v>
      </c>
      <c r="H14" s="1154">
        <f>IF(ISNUMBER(((NºAsuntos!G14/NºAsuntos!E14)-Datos!BD14)/Datos!BD14),((NºAsuntos!G14/NºAsuntos!E14)-Datos!BD14)/Datos!BD14," - ")</f>
        <v>-3.7951750683013881E-2</v>
      </c>
      <c r="I14" s="1154">
        <f>IF(ISNUMBER(((NºAsuntos!I14/NºAsuntos!G14)-Datos!BE14)/Datos!BE14),((NºAsuntos!I14/NºAsuntos!G14)-Datos!BE14)/Datos!BE14," - ")</f>
        <v>9.6722339880689026E-2</v>
      </c>
      <c r="J14" s="1154">
        <f>IF(ISNUMBER((('Resol  Asuntos'!D14/NºAsuntos!G14)-Datos!BF14)/Datos!BF14),(('Resol  Asuntos'!D14/NºAsuntos!G14)-Datos!BF14)/Datos!BF14," - ")</f>
        <v>-0.34187260663180996</v>
      </c>
      <c r="K14" s="1154">
        <f>IF(ISNUMBER((((NºAsuntos!C14+NºAsuntos!E14)/NºAsuntos!G14)-Datos!BG14)/Datos!BG14),(((NºAsuntos!C14+NºAsuntos!E14)/NºAsuntos!G14)-Datos!BG14)/Datos!BG14," - ")</f>
        <v>8.1949299090978686E-2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0.17919637070641609</v>
      </c>
      <c r="C17" s="515">
        <f>IF(ISNUMBER(
   IF(D_I="SI",(Datos!J17-Datos!T17)/Datos!T17,(Datos!J17+Datos!AD17-(Datos!T17+Datos!AL17))/(Datos!T17+Datos!AL17))
     ),IF(D_I="SI",(Datos!J17-Datos!T17)/Datos!T17,(Datos!J17+Datos!AD17-(Datos!T17+Datos!AL17))/(Datos!T17+Datos!AL17))," - ")</f>
        <v>0.26161504424778759</v>
      </c>
      <c r="D17" s="515">
        <f>IF(ISNUMBER(
   IF(D_I="SI",(Datos!K17-Datos!U17)/Datos!U17,(Datos!K17+Datos!AE17-(Datos!U17+Datos!AM17))/(Datos!U17+Datos!AM17))
     ),IF(D_I="SI",(Datos!K17-Datos!U17)/Datos!U17,(Datos!K17+Datos!AE17-(Datos!U17+Datos!AM17))/(Datos!U17+Datos!AM17))," - ")</f>
        <v>0.52209595959595956</v>
      </c>
      <c r="E17" s="515">
        <f>IF(ISNUMBER(
   IF(D_I="SI",(Datos!L17-Datos!V17)/Datos!V17,(Datos!L17+Datos!AF17-(Datos!V17+Datos!AN17))/(Datos!V17+Datos!AN17))
     ),IF(D_I="SI",(Datos!L17-Datos!V17)/Datos!V17,(Datos!L17+Datos!AF17-(Datos!V17+Datos!AN17))/(Datos!V17+Datos!AN17))," - ")</f>
        <v>-3.537949803447233E-2</v>
      </c>
      <c r="F17" s="515">
        <f>IF(ISNUMBER((Datos!M17-Datos!W17)/Datos!W17),(Datos!M17-Datos!W17)/Datos!W17," - ")</f>
        <v>0.19767441860465115</v>
      </c>
      <c r="G17" s="516">
        <f>IF(ISNUMBER((Datos!N17-Datos!X17)/Datos!X17),(Datos!N17-Datos!X17)/Datos!X17," - ")</f>
        <v>0.4622741764080765</v>
      </c>
      <c r="H17" s="514">
        <f>IF(ISNUMBER(((NºAsuntos!G17/NºAsuntos!E17)-Datos!BD17)/Datos!BD17),((NºAsuntos!G17/NºAsuntos!E17)-Datos!BD17)/Datos!BD17," - ")</f>
        <v>0.20646624066176894</v>
      </c>
      <c r="I17" s="515">
        <f>IF(ISNUMBER(((NºAsuntos!I17/NºAsuntos!G17)-Datos!BE17)/Datos!BE17),((NºAsuntos!I17/NºAsuntos!G17)-Datos!BE17)/Datos!BE17," - ")</f>
        <v>-0.3662551326779776</v>
      </c>
      <c r="J17" s="521">
        <f>IF(ISNUMBER((('Resol  Asuntos'!D17/NºAsuntos!G17)-Datos!BF17)/Datos!BF17),(('Resol  Asuntos'!D17/NºAsuntos!G17)-Datos!BF17)/Datos!BF17," - ")</f>
        <v>-0.213141319340619</v>
      </c>
      <c r="K17" s="522">
        <f>IF(ISNUMBER((((NºAsuntos!C17+NºAsuntos!E17)/NºAsuntos!G17)-Datos!BG17)/Datos!BG17),(((NºAsuntos!C17+NºAsuntos!E17)/NºAsuntos!G17)-Datos!BG17)/Datos!BG17," - ")</f>
        <v>-0.20527713447950127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1.1857707509881422E-2</v>
      </c>
      <c r="C18" s="515">
        <f>IF(ISNUMBER(
   IF(D_I="SI",(Datos!J18-Datos!T18)/Datos!T18,(Datos!J18+Datos!AD18-(Datos!T18+Datos!AL18))/(Datos!T18+Datos!AL18))
     ),IF(D_I="SI",(Datos!J18-Datos!T18)/Datos!T18,(Datos!J18+Datos!AD18-(Datos!T18+Datos!AL18))/(Datos!T18+Datos!AL18))," - ")</f>
        <v>0.9</v>
      </c>
      <c r="D18" s="515">
        <f>IF(ISNUMBER(
   IF(D_I="SI",(Datos!K18-Datos!U18)/Datos!U18,(Datos!K18+Datos!AE18-(Datos!U18+Datos!AM18))/(Datos!U18+Datos!AM18))
     ),IF(D_I="SI",(Datos!K18-Datos!U18)/Datos!U18,(Datos!K18+Datos!AE18-(Datos!U18+Datos!AM18))/(Datos!U18+Datos!AM18))," - ")</f>
        <v>0.15957446808510639</v>
      </c>
      <c r="E18" s="515">
        <f>IF(ISNUMBER(
   IF(D_I="SI",(Datos!L18-Datos!V18)/Datos!V18,(Datos!L18+Datos!AF18-(Datos!V18+Datos!AN18))/(Datos!V18+Datos!AN18))
     ),IF(D_I="SI",(Datos!L18-Datos!V18)/Datos!V18,(Datos!L18+Datos!AF18-(Datos!V18+Datos!AN18))/(Datos!V18+Datos!AN18))," - ")</f>
        <v>0.2510460251046025</v>
      </c>
      <c r="F18" s="515">
        <f>IF(ISNUMBER((Datos!M18-Datos!W18)/Datos!W18),(Datos!M18-Datos!W18)/Datos!W18," - ")</f>
        <v>4</v>
      </c>
      <c r="G18" s="516">
        <f>IF(ISNUMBER((Datos!N18-Datos!X18)/Datos!X18),(Datos!N18-Datos!X18)/Datos!X18," - ")</f>
        <v>0.80645161290322576</v>
      </c>
      <c r="H18" s="514">
        <f>IF(ISNUMBER(((NºAsuntos!G18/NºAsuntos!E18)-Datos!BD18)/Datos!BD18),((NºAsuntos!G18/NºAsuntos!E18)-Datos!BD18)/Datos!BD18," - ")</f>
        <v>-0.38969764837625986</v>
      </c>
      <c r="I18" s="515">
        <f>IF(ISNUMBER(((NºAsuntos!I18/NºAsuntos!G18)-Datos!BE18)/Datos!BE18),((NºAsuntos!I18/NºAsuntos!G18)-Datos!BE18)/Datos!BE18," - ")</f>
        <v>7.8883728071859199E-2</v>
      </c>
      <c r="J18" s="521">
        <f>IF(ISNUMBER((('Resol  Asuntos'!D18/NºAsuntos!G18)-Datos!BF18)/Datos!BF18),(('Resol  Asuntos'!D18/NºAsuntos!G18)-Datos!BF18)/Datos!BF18," - ")</f>
        <v>3.3119266055045875</v>
      </c>
      <c r="K18" s="522">
        <f>IF(ISNUMBER((((NºAsuntos!C18+NºAsuntos!E18)/NºAsuntos!G18)-Datos!BG18)/Datos!BG18),(((NºAsuntos!C18+NºAsuntos!E18)/NºAsuntos!G18)-Datos!BG18)/Datos!BG18," - ")</f>
        <v>5.661624927679984E-2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0.16651692123390235</v>
      </c>
      <c r="C23" s="1152">
        <f>IF(ISNUMBER(
   IF(Criterios!B14="SI",(Datos!J23-Datos!T23)/Datos!T23,(Datos!J23+Datos!AD23-(Datos!T23+Datos!AL23))/(Datos!T23+Datos!AL23))
     ),IF(Criterios!B14="SI",(Datos!J23-Datos!T23)/Datos!T23,(Datos!J23+Datos!AD23-(Datos!T23+Datos!AL23))/(Datos!T23+Datos!AL23))," - ")</f>
        <v>0.28866525423728812</v>
      </c>
      <c r="D23" s="1152">
        <f>IF(ISNUMBER(
   IF(Criterios!B14="SI",(Datos!K23-Datos!U23)/Datos!U23,(Datos!K23+Datos!AE23-(Datos!U23+Datos!AM23))/(Datos!U23+Datos!AM23))
     ),IF(Criterios!B14="SI",(Datos!K23-Datos!U23)/Datos!U23,(Datos!K23+Datos!AE23-(Datos!U23+Datos!AM23))/(Datos!U23+Datos!AM23))," - ")</f>
        <v>0.50178784266984511</v>
      </c>
      <c r="E23" s="1152">
        <f>IF(ISNUMBER(
   IF(Criterios!B14="SI",(Datos!L23-Datos!V23)/Datos!V23,(Datos!L23+Datos!AF23-(Datos!V23+Datos!AN23))/(Datos!V23+Datos!AN23))
     ),IF(Criterios!B14="SI",(Datos!L23-Datos!V23)/Datos!V23,(Datos!L23+Datos!AF23-(Datos!V23+Datos!AN23))/(Datos!V23+Datos!AN23))," - ")</f>
        <v>-1.6074450084602367E-2</v>
      </c>
      <c r="F23" s="1153">
        <f>IF(ISNUMBER((Datos!M23-Datos!W23)/Datos!W23),(Datos!M23-Datos!W23)/Datos!W23," - ")</f>
        <v>0.21235521235521235</v>
      </c>
      <c r="G23" s="1154">
        <f>IF(ISNUMBER((Datos!N23-Datos!X23)/Datos!X23),(Datos!N23-Datos!X23)/Datos!X23," - ")</f>
        <v>0.47325102880658437</v>
      </c>
      <c r="H23" s="1154">
        <f>IF(ISNUMBER(((NºAsuntos!G23/NºAsuntos!E23)-Datos!BD23)/Datos!BD23),((NºAsuntos!G23/NºAsuntos!E23)-Datos!BD23)/Datos!BD23," - ")</f>
        <v>0.16538242785066487</v>
      </c>
      <c r="I23" s="1154">
        <f>IF(ISNUMBER(((NºAsuntos!I23/NºAsuntos!G23)-Datos!BE23)/Datos!BE23),((NºAsuntos!I23/NºAsuntos!G23)-Datos!BE23)/Datos!BE23," - ")</f>
        <v>-0.34483052668331854</v>
      </c>
      <c r="J23" s="1154">
        <f>IF(ISNUMBER((('Resol  Asuntos'!D23/NºAsuntos!G23)-Datos!BF23)/Datos!BF23),(('Resol  Asuntos'!D23/NºAsuntos!G23)-Datos!BF23)/Datos!BF23," - ")</f>
        <v>-0.19272537843966409</v>
      </c>
      <c r="K23" s="1154">
        <f>IF(ISNUMBER((((NºAsuntos!C23+NºAsuntos!E23)/NºAsuntos!G23)-Datos!BG23)/Datos!BG23),(((NºAsuntos!C23+NºAsuntos!E23)/NºAsuntos!G23)-Datos!BG23)/Datos!BG23," - ")</f>
        <v>-0.19386943859872882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0.20596661068853106</v>
      </c>
      <c r="C31" s="1092">
        <f>IF(ISNUMBER(
   IF(J_V="SI",(Datos!J31-Datos!T31)/Datos!T31,(Datos!J31+Datos!Z31-(Datos!T31+Datos!AH31))/(Datos!T31+Datos!AH31))
     ),IF(J_V="SI",(Datos!J31-Datos!T31)/Datos!T31,(Datos!J31+Datos!Z31-(Datos!T31+Datos!AH31))/(Datos!T31+Datos!AH31))," - ")</f>
        <v>0.22360722462477742</v>
      </c>
      <c r="D31" s="1092">
        <f>IF(ISNUMBER(
   IF(J_V="SI",(Datos!K31-Datos!U31)/Datos!U31,(Datos!K31+Datos!AA31-(Datos!U31+Datos!AI31))/(Datos!U31+Datos!AI31))
     ),IF(J_V="SI",(Datos!K31-Datos!U31)/Datos!U31,(Datos!K31+Datos!AA31-(Datos!U31+Datos!AI31))/(Datos!U31+Datos!AI31))," - ")</f>
        <v>0.31457255856404015</v>
      </c>
      <c r="E31" s="1092">
        <f>IF(ISNUMBER(
   IF(J_V="SI",(Datos!L31-Datos!V31)/Datos!V31,(Datos!L31+Datos!AB31-(Datos!V31+Datos!AJ31))/(Datos!V31+Datos!AJ31))
     ),IF(J_V="SI",(Datos!L31-Datos!V31)/Datos!V31,(Datos!L31+Datos!AB31-(Datos!V31+Datos!AJ31))/(Datos!V31+Datos!AJ31))," - ")</f>
        <v>0.14749235190507093</v>
      </c>
      <c r="F31" s="1093">
        <f>IF(ISNUMBER((Datos!M31-Datos!W31)/Datos!W31),(Datos!M31-Datos!W31)/Datos!W31," - ")</f>
        <v>0.22240527182866557</v>
      </c>
      <c r="G31" s="1094">
        <f>IF(ISNUMBER((Datos!N31-Datos!X31)/Datos!X31),(Datos!N31-Datos!X31)/Datos!X31," - ")</f>
        <v>0.38273195876288657</v>
      </c>
      <c r="H31" s="1095">
        <f>IF(ISNUMBER((Tasas!B31-Datos!BD31)/Datos!BD31),(Tasas!B31-Datos!BD31)/Datos!BD31," - ")</f>
        <v>7.4341939233938087E-2</v>
      </c>
      <c r="I31" s="1096">
        <f>IF(ISNUMBER((Tasas!C31-Datos!BE31)/Datos!BE31),(Tasas!C31-Datos!BE31)/Datos!BE31," - ")</f>
        <v>-0.12709850481093077</v>
      </c>
      <c r="J31" s="1097">
        <f>IF(ISNUMBER((Tasas!D31-Datos!BF31)/Datos!BF31),(Tasas!D31-Datos!BF31)/Datos!BF31," - ")</f>
        <v>-0.32804520558512679</v>
      </c>
      <c r="K31" s="1097">
        <f>IF(ISNUMBER((Tasas!E31-Datos!BG31)/Datos!BG31),(Tasas!E31-Datos!BG31)/Datos!BG31," - ")</f>
        <v>-7.8863465338359778E-2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0rJ7MODiZFNfUsPJkwB9L6fcWcejaphulTwnxf3da6FESUPFeDpG6tlvkSOvYF2IRbTuVUl8uvcHI1zvyBzMA==" saltValue="NgkyfQiQh2kCaPkE1c6W1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VILANOVA I LA GELTRU</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9.5833333333333339</v>
      </c>
      <c r="D10" s="499">
        <f>IF(ISNUMBER('Resol  Asuntos'!D10/NºAsuntos!G10),'Resol  Asuntos'!D10/NºAsuntos!G10," - ")</f>
        <v>0.58333333333333337</v>
      </c>
      <c r="E10" s="500">
        <f>IF(ISNUMBER((NºAsuntos!C10+NºAsuntos!E10)/NºAsuntos!G10),(NºAsuntos!C10+NºAsuntos!E10)/NºAsuntos!G10," - ")</f>
        <v>10.583333333333334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0.7577297755188479</v>
      </c>
      <c r="C12" s="498">
        <f>IF(ISNUMBER(NºAsuntos!I12/NºAsuntos!G12),NºAsuntos!I12/NºAsuntos!G12," - ")</f>
        <v>4.9044158747903861</v>
      </c>
      <c r="D12" s="499">
        <f>IF(ISNUMBER('Resol  Asuntos'!D12/NºAsuntos!G12),'Resol  Asuntos'!D12/NºAsuntos!G12," - ")</f>
        <v>0.23532699832308551</v>
      </c>
      <c r="E12" s="500">
        <f>IF(ISNUMBER((NºAsuntos!C12+NºAsuntos!E12)/NºAsuntos!G12),(NºAsuntos!C12+NºAsuntos!E12)/NºAsuntos!G12," - ")</f>
        <v>5.9044158747903861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0.75767774505679431</v>
      </c>
      <c r="C14" s="1156">
        <f>IF(ISNUMBER(NºAsuntos!I14/NºAsuntos!G14),NºAsuntos!I14/NºAsuntos!G14," - ")</f>
        <v>4.9355913381454748</v>
      </c>
      <c r="D14" s="1157">
        <f>IF(ISNUMBER('Resol  Asuntos'!D14/NºAsuntos!G14),'Resol  Asuntos'!D14/NºAsuntos!G14," - ")</f>
        <v>0.23764575235980012</v>
      </c>
      <c r="E14" s="1158">
        <f>IF(ISNUMBER((NºAsuntos!C14+NºAsuntos!E14)/NºAsuntos!G14),(NºAsuntos!C14+NºAsuntos!E14)/NºAsuntos!G14," - ")</f>
        <v>5.9355913381454748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1.0569925471284525</v>
      </c>
      <c r="C17" s="498">
        <f>IF(ISNUMBER(NºAsuntos!I17/NºAsuntos!G17),NºAsuntos!I17/NºAsuntos!G17," - ")</f>
        <v>1.3231024471173787</v>
      </c>
      <c r="D17" s="499">
        <f>IF(ISNUMBER('Resol  Asuntos'!D17/NºAsuntos!G17),'Resol  Asuntos'!D17/NºAsuntos!G17," - ")</f>
        <v>0.1281625881377022</v>
      </c>
      <c r="E17" s="500">
        <f>IF(ISNUMBER((NºAsuntos!C17+NºAsuntos!E17)/NºAsuntos!G17),(NºAsuntos!C17+NºAsuntos!E17)/NºAsuntos!G17," - ")</f>
        <v>2.4554126918291166</v>
      </c>
      <c r="G17" s="523"/>
    </row>
    <row r="18" spans="1:7">
      <c r="A18" s="450" t="str">
        <f>Datos!A18</f>
        <v>Jdos. Violencia contra la mujer</v>
      </c>
      <c r="B18" s="497">
        <f>IF(ISNUMBER(NºAsuntos!G18/NºAsuntos!E18),NºAsuntos!G18/NºAsuntos!E18," - ")</f>
        <v>0.71710526315789469</v>
      </c>
      <c r="C18" s="498">
        <f>IF(ISNUMBER(NºAsuntos!I18/NºAsuntos!G18),NºAsuntos!I18/NºAsuntos!G18," - ")</f>
        <v>2.7431192660550461</v>
      </c>
      <c r="D18" s="499">
        <f>IF(ISNUMBER('Resol  Asuntos'!D18/NºAsuntos!G18),'Resol  Asuntos'!D18/NºAsuntos!G18," - ")</f>
        <v>4.5871559633027525E-2</v>
      </c>
      <c r="E18" s="500">
        <f>IF(ISNUMBER((NºAsuntos!C18+NºAsuntos!E18)/NºAsuntos!G18),(NºAsuntos!C18+NºAsuntos!E18)/NºAsuntos!G18," - ")</f>
        <v>3.7431192660550461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1.0357583230579532</v>
      </c>
      <c r="C23" s="1156">
        <f>IF(ISNUMBER(NºAsuntos!I23/NºAsuntos!G23),NºAsuntos!I23/NºAsuntos!G23," - ")</f>
        <v>1.3845238095238095</v>
      </c>
      <c r="D23" s="1159">
        <f>IF(ISNUMBER('Resol  Asuntos'!D23/NºAsuntos!G23),'Resol  Asuntos'!D23/NºAsuntos!G23," - ")</f>
        <v>0.1246031746031746</v>
      </c>
      <c r="E23" s="1158">
        <f>IF(ISNUMBER((NºAsuntos!C23+NºAsuntos!E23)/NºAsuntos!G23),(NºAsuntos!C23+NºAsuntos!E23)/NºAsuntos!G23," - ")</f>
        <v>2.5111111111111111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0.89833679833679836</v>
      </c>
      <c r="C31" s="1099">
        <f>IF(ISNUMBER(NºAsuntos!I31/NºAsuntos!G31),NºAsuntos!I31/NºAsuntos!G31," - ")</f>
        <v>2.8646146725295072</v>
      </c>
      <c r="D31" s="1100">
        <f>IF(ISNUMBER('Resol  Asuntos'!D31/NºAsuntos!G31),'Resol  Asuntos'!D31/NºAsuntos!G31," - ")</f>
        <v>0.17171950937283037</v>
      </c>
      <c r="E31" s="1101">
        <f>IF(ISNUMBER((NºAsuntos!C31+NºAsuntos!E31)/NºAsuntos!G31),(NºAsuntos!C31+NºAsuntos!E31)/NºAsuntos!G31," - ")</f>
        <v>3.9384401758852117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gudiEYLYUAqgT0Rb9T4b3PotCuKBa2V5fzldk5vb6eY0f3Sg/ycr0TpCxHH1/lvlk5CrsKlFuuciUS+K/UWPA==" saltValue="9GmWLjvb8FdUmXi7lCD/w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VILANOVA I LA GELTRU</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111</v>
      </c>
      <c r="G10" s="373">
        <f>IF(ISNUMBER(Datos!I10),Datos!I10," - ")</f>
        <v>111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115</v>
      </c>
      <c r="AB10" s="374">
        <f>IF(ISNUMBER(Datos!R10),Datos!R10," - ")</f>
        <v>41</v>
      </c>
      <c r="AC10" s="374">
        <f t="shared" ref="AC10:AC13" si="1">IF(ISNUMBER(AA10+AB10),AA10+AB10," - ")</f>
        <v>156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28.750000000000004</v>
      </c>
      <c r="AN10" s="267">
        <f>IF(ISNUMBER('Resol  Asuntos'!D10/NºAsuntos!G10),'Resol  Asuntos'!D10/NºAsuntos!G10," - ")</f>
        <v>0.58333333333333337</v>
      </c>
      <c r="AO10" s="268">
        <f>IF(ISNUMBER((NºAsuntos!C10+NºAsuntos!E10)/NºAsuntos!G10),(NºAsuntos!C10+NºAsuntos!E10)/NºAsuntos!G10," - ")</f>
        <v>10.583333333333334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321</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229</v>
      </c>
      <c r="Y12" s="374">
        <f t="shared" si="0"/>
        <v>229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9990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421</v>
      </c>
      <c r="AJ12" s="243" t="str">
        <f>IF(ISNUMBER(Datos!BW12),Datos!BW12," - ")</f>
        <v xml:space="preserve"> - </v>
      </c>
      <c r="AK12" s="242" t="str">
        <f>IF(ISNUMBER(Datos!BX12),Datos!BX12," - ")</f>
        <v xml:space="preserve"> - </v>
      </c>
      <c r="AL12" s="266">
        <f>IF(ISNUMBER(NºAsuntos!G12/NºAsuntos!E12),NºAsuntos!G12/NºAsuntos!E12," - ")</f>
        <v>0.7577297755188479</v>
      </c>
      <c r="AM12" s="284">
        <f>IF(ISNUMBER(((NºAsuntos!I12/NºAsuntos!G12)*11)/factor_trimestre),((NºAsuntos!I12/NºAsuntos!G12)*11)/factor_trimestre," - ")</f>
        <v>14.713247624371158</v>
      </c>
      <c r="AN12" s="267">
        <f>IF(ISNUMBER('Resol  Asuntos'!D12/NºAsuntos!G12),'Resol  Asuntos'!D12/NºAsuntos!G12," - ")</f>
        <v>0.23532699832308551</v>
      </c>
      <c r="AO12" s="268">
        <f>IF(ISNUMBER((NºAsuntos!C12+NºAsuntos!E12)/NºAsuntos!G12),(NºAsuntos!C12+NºAsuntos!E12)/NºAsuntos!G12," - ")</f>
        <v>5.9044158747903861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111</v>
      </c>
      <c r="G14" s="1163">
        <f t="shared" si="5"/>
        <v>111</v>
      </c>
      <c r="H14" s="1162">
        <f t="shared" si="5"/>
        <v>0</v>
      </c>
      <c r="I14" s="1164">
        <f t="shared" si="5"/>
        <v>0</v>
      </c>
      <c r="J14" s="1164">
        <f t="shared" si="5"/>
        <v>0</v>
      </c>
      <c r="K14" s="1164">
        <f t="shared" si="5"/>
        <v>0</v>
      </c>
      <c r="L14" s="1164">
        <f t="shared" si="5"/>
        <v>461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229</v>
      </c>
      <c r="Y14" s="1165">
        <f t="shared" si="6"/>
        <v>241</v>
      </c>
      <c r="Z14" s="1165">
        <f t="shared" si="6"/>
        <v>0</v>
      </c>
      <c r="AA14" s="1165">
        <f t="shared" si="6"/>
        <v>115</v>
      </c>
      <c r="AB14" s="1165">
        <f t="shared" si="6"/>
        <v>10031</v>
      </c>
      <c r="AC14" s="1165">
        <f t="shared" si="6"/>
        <v>156</v>
      </c>
      <c r="AD14" s="1165">
        <f t="shared" si="6"/>
        <v>0</v>
      </c>
      <c r="AE14" s="1169">
        <f t="shared" si="6"/>
        <v>0</v>
      </c>
      <c r="AF14" s="1162">
        <f t="shared" si="6"/>
        <v>0</v>
      </c>
      <c r="AG14" s="1170">
        <f t="shared" si="6"/>
        <v>0</v>
      </c>
      <c r="AH14" s="1167">
        <f t="shared" si="6"/>
        <v>0</v>
      </c>
      <c r="AI14" s="1162">
        <f t="shared" si="6"/>
        <v>428</v>
      </c>
      <c r="AJ14" s="1164">
        <f t="shared" si="6"/>
        <v>0</v>
      </c>
      <c r="AK14" s="1167">
        <f>SUBTOTAL(9,AK9:AK13)</f>
        <v>0</v>
      </c>
      <c r="AL14" s="1171">
        <f>IF(ISNUMBER(NºAsuntos!G14/NºAsuntos!E14),NºAsuntos!G14/NºAsuntos!E14," - ")</f>
        <v>0.75767774505679431</v>
      </c>
      <c r="AM14" s="1171">
        <f>IF(ISNUMBER(((NºAsuntos!I14/NºAsuntos!G14)*11)/factor_trimestre),((NºAsuntos!I14/NºAsuntos!G14)*11)/factor_trimestre," - ")</f>
        <v>14.806774014436426</v>
      </c>
      <c r="AN14" s="1172">
        <f>IF(ISNUMBER('Resol  Asuntos'!D14/NºAsuntos!G14),'Resol  Asuntos'!D14/NºAsuntos!G14," - ")</f>
        <v>0.23764575235980012</v>
      </c>
      <c r="AO14" s="1173">
        <f>IF(ISNUMBER((NºAsuntos!C14+NºAsuntos!E14)/NºAsuntos!G14),(NºAsuntos!C14+NºAsuntos!E14)/NºAsuntos!G14," - ")</f>
        <v>5.9355913381454748</v>
      </c>
      <c r="AP14" s="1174" t="str">
        <f t="shared" si="2"/>
        <v xml:space="preserve"> - </v>
      </c>
      <c r="AQ14" s="1174">
        <f>IF(ISNUMBER((H14-W14+K14)/(F14)),(H14-W14+K14)/(F14)," - ")</f>
        <v>-0.10810810810810811</v>
      </c>
      <c r="AR14" s="1175">
        <f>IF(ISNUMBER((Datos!P14-Datos!Q14)/(Datos!R14-Datos!P14+Datos!Q14)),(Datos!P14-Datos!Q14)/(Datos!R14-Datos!P14+Datos!Q14)," - ")</f>
        <v>2.3675885294417796E-2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511</v>
      </c>
      <c r="C17" s="173" t="str">
        <f>Datos!A17</f>
        <v xml:space="preserve">Jdos. 1ª Instª. e Instr.                        </v>
      </c>
      <c r="D17" s="173"/>
      <c r="E17" s="1402">
        <f>IF(ISNUMBER(Datos!AQ17),Datos!AQ17," - ")</f>
        <v>9</v>
      </c>
      <c r="F17" s="239">
        <f>IF(ISNUMBER(AA17+W17-Datos!J17-K17),AA17+W17-Datos!J17-K17," - ")</f>
        <v>3320</v>
      </c>
      <c r="G17" s="373">
        <f>IF(ISNUMBER(IF(D_I="SI",Datos!I17,Datos!I17+Datos!AC17)),IF(D_I="SI",Datos!I17,Datos!I17+Datos!AC17)," - ")</f>
        <v>3639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2411</v>
      </c>
      <c r="X17" s="240">
        <f>IF(ISNUMBER(Datos!Q17),Datos!Q17," - ")</f>
        <v>70</v>
      </c>
      <c r="Y17" s="374">
        <f t="shared" ref="Y17:Y22" si="9">SUM(W17:X17)</f>
        <v>2481</v>
      </c>
      <c r="Z17" s="375" t="str">
        <f>IF(ISNUMBER(Datos!CC17),Datos!CC17," - ")</f>
        <v xml:space="preserve"> - </v>
      </c>
      <c r="AA17" s="372">
        <f>IF(ISNUMBER(IF(D_I="SI",Datos!L17,Datos!L17+Datos!AF17)),IF(D_I="SI",Datos!L17,Datos!L17+Datos!AF17)," - ")</f>
        <v>3190</v>
      </c>
      <c r="AB17" s="374">
        <f>IF(ISNUMBER(Datos!R17),Datos!R17," - ")</f>
        <v>457</v>
      </c>
      <c r="AC17" s="374">
        <f t="shared" si="8"/>
        <v>3647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309</v>
      </c>
      <c r="AJ17" s="245" t="str">
        <f>IF(ISNUMBER(Datos!BW17),Datos!BW17," - ")</f>
        <v xml:space="preserve"> - </v>
      </c>
      <c r="AK17" s="246" t="str">
        <f>IF(ISNUMBER(Datos!BX17),Datos!BX17," - ")</f>
        <v xml:space="preserve"> - </v>
      </c>
      <c r="AL17" s="266">
        <f>IF(ISNUMBER(NºAsuntos!G17/NºAsuntos!E17),NºAsuntos!G17/NºAsuntos!E17," - ")</f>
        <v>1.0569925471284525</v>
      </c>
      <c r="AM17" s="284">
        <f>IF(ISNUMBER(((NºAsuntos!I17/NºAsuntos!G17)*11)/factor_trimestre),((NºAsuntos!I17/NºAsuntos!G17)*11)/factor_trimestre," - ")</f>
        <v>3.9693073413521365</v>
      </c>
      <c r="AN17" s="267">
        <f>IF(ISNUMBER('Resol  Asuntos'!D17/NºAsuntos!G17),'Resol  Asuntos'!D17/NºAsuntos!G17," - ")</f>
        <v>0.1281625881377022</v>
      </c>
      <c r="AO17" s="268">
        <f>IF(ISNUMBER((NºAsuntos!C17+NºAsuntos!E17)/NºAsuntos!G17),(NºAsuntos!C17+NºAsuntos!E17)/NºAsuntos!G17," - ")</f>
        <v>2.4554126918291166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109</v>
      </c>
      <c r="X18" s="240">
        <f>IF(ISNUMBER(Datos!Q18),Datos!Q18," - ")</f>
        <v>0</v>
      </c>
      <c r="Y18" s="374">
        <f t="shared" si="9"/>
        <v>109</v>
      </c>
      <c r="Z18" s="375" t="str">
        <f>IF(ISNUMBER(Datos!CC18),Datos!CC18," - ")</f>
        <v xml:space="preserve"> - </v>
      </c>
      <c r="AA18" s="372">
        <f>IF(ISNUMBER(Datos!L18),Datos!L18,"-")</f>
        <v>299</v>
      </c>
      <c r="AB18" s="374">
        <f>IF(ISNUMBER(Datos!R18),Datos!R18," - ")</f>
        <v>3</v>
      </c>
      <c r="AC18" s="374">
        <f t="shared" si="8"/>
        <v>302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0.71710526315789469</v>
      </c>
      <c r="AM18" s="284">
        <f>IF(ISNUMBER(((NºAsuntos!I18/NºAsuntos!G18)*11)/factor_trimestre),((NºAsuntos!I18/NºAsuntos!G18)*11)/factor_trimestre," - ")</f>
        <v>8.2293577981651396</v>
      </c>
      <c r="AN18" s="267">
        <f>IF(ISNUMBER('Resol  Asuntos'!D18/NºAsuntos!G18),'Resol  Asuntos'!D18/NºAsuntos!G18," - ")</f>
        <v>4.5871559633027525E-2</v>
      </c>
      <c r="AO18" s="268">
        <f>IF(ISNUMBER((NºAsuntos!C18+NºAsuntos!E18)/NºAsuntos!G18),(NºAsuntos!C18+NºAsuntos!E18)/NºAsuntos!G18," - ")</f>
        <v>3.7431192660550461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3320</v>
      </c>
      <c r="G23" s="1163">
        <f>SUBTOTAL(9,G16:G22)</f>
        <v>3895</v>
      </c>
      <c r="H23" s="1162">
        <f t="shared" ref="H23:O23" si="13">SUBTOTAL(9,H15:H22)</f>
        <v>0</v>
      </c>
      <c r="I23" s="1164">
        <f t="shared" si="13"/>
        <v>0</v>
      </c>
      <c r="J23" s="1164">
        <f t="shared" si="13"/>
        <v>0</v>
      </c>
      <c r="K23" s="1164">
        <f t="shared" si="13"/>
        <v>0</v>
      </c>
      <c r="L23" s="1164">
        <f t="shared" si="13"/>
        <v>102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2520</v>
      </c>
      <c r="X23" s="1164">
        <f t="shared" si="14"/>
        <v>70</v>
      </c>
      <c r="Y23" s="1165">
        <f t="shared" si="14"/>
        <v>2590</v>
      </c>
      <c r="Z23" s="1165">
        <f t="shared" si="14"/>
        <v>0</v>
      </c>
      <c r="AA23" s="1165">
        <f t="shared" si="14"/>
        <v>3489</v>
      </c>
      <c r="AB23" s="1165">
        <f t="shared" si="14"/>
        <v>460</v>
      </c>
      <c r="AC23" s="1165">
        <f t="shared" si="14"/>
        <v>3949</v>
      </c>
      <c r="AD23" s="1165">
        <f t="shared" si="14"/>
        <v>0</v>
      </c>
      <c r="AE23" s="1169">
        <f t="shared" si="14"/>
        <v>0</v>
      </c>
      <c r="AF23" s="1162">
        <f t="shared" si="14"/>
        <v>0</v>
      </c>
      <c r="AG23" s="1170">
        <f t="shared" si="14"/>
        <v>0</v>
      </c>
      <c r="AH23" s="1167">
        <f t="shared" si="14"/>
        <v>0</v>
      </c>
      <c r="AI23" s="1162">
        <f t="shared" si="14"/>
        <v>314</v>
      </c>
      <c r="AJ23" s="1164">
        <f t="shared" si="14"/>
        <v>0</v>
      </c>
      <c r="AK23" s="1167">
        <f t="shared" si="14"/>
        <v>0</v>
      </c>
      <c r="AL23" s="1171">
        <f>IF(ISNUMBER(NºAsuntos!G23/NºAsuntos!E23),NºAsuntos!G23/NºAsuntos!E23," - ")</f>
        <v>1.0357583230579532</v>
      </c>
      <c r="AM23" s="1171">
        <f>IF(ISNUMBER(((NºAsuntos!I23/NºAsuntos!G23)*11)/factor_trimestre),((NºAsuntos!I23/NºAsuntos!G23)*11)/factor_trimestre," - ")</f>
        <v>4.1535714285714285</v>
      </c>
      <c r="AN23" s="1172">
        <f>IF(ISNUMBER('Resol  Asuntos'!D23/NºAsuntos!G23),'Resol  Asuntos'!D23/NºAsuntos!G23," - ")</f>
        <v>0.1246031746031746</v>
      </c>
      <c r="AO23" s="1173">
        <f>IF(ISNUMBER((NºAsuntos!C23+NºAsuntos!E23)/NºAsuntos!G23),(NºAsuntos!C23+NºAsuntos!E23)/NºAsuntos!G23," - ")</f>
        <v>2.5111111111111111</v>
      </c>
      <c r="AP23" s="1174" t="str">
        <f t="shared" si="2"/>
        <v xml:space="preserve"> - </v>
      </c>
      <c r="AQ23" s="1174">
        <f>IF(ISNUMBER((H23-W23+K23)/(F23)),(H23-W23+K23)/(F23)," - ")</f>
        <v>-0.75903614457831325</v>
      </c>
      <c r="AR23" s="1175">
        <f>IF(ISNUMBER((Datos!P23-Datos!Q23)/(Datos!R23-Datos!P23+Datos!Q23)),(Datos!P23-Datos!Q23)/(Datos!R23-Datos!P23+Datos!Q23)," - ")</f>
        <v>7.476635514018691E-2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3431</v>
      </c>
      <c r="G31" s="1118">
        <f t="shared" si="20"/>
        <v>4006</v>
      </c>
      <c r="H31" s="1117">
        <f t="shared" si="20"/>
        <v>0</v>
      </c>
      <c r="I31" s="1119">
        <f t="shared" si="20"/>
        <v>0</v>
      </c>
      <c r="J31" s="1119">
        <f t="shared" si="20"/>
        <v>0</v>
      </c>
      <c r="K31" s="1180">
        <f t="shared" si="20"/>
        <v>0</v>
      </c>
      <c r="L31" s="1119">
        <f t="shared" si="20"/>
        <v>563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2532</v>
      </c>
      <c r="X31" s="1118">
        <f t="shared" si="21"/>
        <v>299</v>
      </c>
      <c r="Y31" s="1125">
        <f t="shared" si="21"/>
        <v>2831</v>
      </c>
      <c r="Z31" s="1125">
        <f t="shared" si="21"/>
        <v>0</v>
      </c>
      <c r="AA31" s="1125">
        <f t="shared" si="21"/>
        <v>3604</v>
      </c>
      <c r="AB31" s="1125">
        <f t="shared" si="21"/>
        <v>10491</v>
      </c>
      <c r="AC31" s="1125">
        <f t="shared" si="21"/>
        <v>4105</v>
      </c>
      <c r="AD31" s="1125">
        <f t="shared" si="21"/>
        <v>0</v>
      </c>
      <c r="AE31" s="1127">
        <f t="shared" si="21"/>
        <v>0</v>
      </c>
      <c r="AF31" s="1128">
        <f t="shared" si="21"/>
        <v>0</v>
      </c>
      <c r="AG31" s="1129">
        <f t="shared" si="21"/>
        <v>0</v>
      </c>
      <c r="AH31" s="1127">
        <f t="shared" si="21"/>
        <v>0</v>
      </c>
      <c r="AI31" s="1117">
        <f t="shared" si="21"/>
        <v>742</v>
      </c>
      <c r="AJ31" s="1117">
        <f t="shared" si="21"/>
        <v>0</v>
      </c>
      <c r="AK31" s="1127">
        <f t="shared" si="21"/>
        <v>0</v>
      </c>
      <c r="AL31" s="1183">
        <f>IF(ISNUMBER(NºAsuntos!G31/NºAsuntos!E31),NºAsuntos!G31/NºAsuntos!E31," - ")</f>
        <v>0.89833679833679836</v>
      </c>
      <c r="AM31" s="1184">
        <f>IF(ISNUMBER(((NºAsuntos!I31/NºAsuntos!G31)*11)/factor_trimestre),((NºAsuntos!I31/NºAsuntos!G31)*11)/factor_trimestre," - ")</f>
        <v>8.5938440175885216</v>
      </c>
      <c r="AN31" s="1184">
        <f>IF(ISNUMBER('Resol  Asuntos'!D31/NºAsuntos!G31),'Resol  Asuntos'!D31/NºAsuntos!G31," - ")</f>
        <v>0.17171950937283037</v>
      </c>
      <c r="AO31" s="1185">
        <f>IF(ISNUMBER((NºAsuntos!C31+NºAsuntos!E31)/NºAsuntos!G31),(NºAsuntos!C31+NºAsuntos!E31)/NºAsuntos!G31," - ")</f>
        <v>3.9384401758852117</v>
      </c>
      <c r="AP31" s="1186" t="str">
        <f t="shared" si="2"/>
        <v xml:space="preserve"> - </v>
      </c>
      <c r="AQ31" s="1187">
        <f>IF(OR(ISNUMBER(FIND("01",Criterios!A8,1)),ISNUMBER(FIND("02",Criterios!A8,1)),ISNUMBER(FIND("03",Criterios!A8,1)),ISNUMBER(FIND("04",Criterios!A8,1))),(I31-W31+K31)/(F31-K31),(H31-W31+K31)/(F31-K31))</f>
        <v>-0.73797726610317693</v>
      </c>
      <c r="AR31" s="1188">
        <f>IF(ISNUMBER((Datos!P31-Datos!Q31)/(Datos!R31-Datos!P31+Datos!Q31)),(Datos!P31-Datos!Q31)/(Datos!R31-Datos!P31+Datos!Q31)," - ")</f>
        <v>2.5814021707245526E-2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1144.5714285714287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3.7696851746252595</v>
      </c>
      <c r="F33" s="276">
        <f>IF(ISNUMBER(STDEV(F8:F30)),STDEV(F8:F30),"-")</f>
        <v>1686.5112708389074</v>
      </c>
      <c r="G33" s="277">
        <f>IF(ISNUMBER(STDEV(G8:G30)),STDEV(G8:G30),"-")</f>
        <v>1795.0495682239398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1191.0812814613532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199.7476980021118</v>
      </c>
      <c r="AJ33" s="276">
        <f t="shared" si="25"/>
        <v>0</v>
      </c>
      <c r="AK33" s="278">
        <f t="shared" si="25"/>
        <v>0</v>
      </c>
      <c r="AL33" s="273">
        <f t="shared" si="25"/>
        <v>0.15617188747000993</v>
      </c>
      <c r="AM33" s="274">
        <f t="shared" si="25"/>
        <v>9.3266538680684565</v>
      </c>
      <c r="AN33" s="274">
        <f t="shared" si="25"/>
        <v>0.1898469235364911</v>
      </c>
      <c r="AO33" s="275">
        <f t="shared" si="25"/>
        <v>3.0627507247066235</v>
      </c>
      <c r="AP33" s="317" t="str">
        <f t="shared" si="25"/>
        <v>-</v>
      </c>
      <c r="AQ33" s="318">
        <f t="shared" si="25"/>
        <v>0.46027562865252641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61KcPJlzFjLbNFA4UwA47lgD6E9cAQia159GA9ebj54IQ9M2xhnfmSb9KDdhBIv76qpaGkUohQnvfZVP6SYb7w==" saltValue="DVlud8RqL8sVqoSfWgPk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VILANOVA I LA GELTRU</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0.46052631578947367</v>
      </c>
      <c r="E10" s="393">
        <f>IF(ISNUMBER((Datos!J10-Datos!T10)/Datos!T10),(Datos!J10-Datos!T10)/Datos!T10," - ")</f>
        <v>0.6</v>
      </c>
      <c r="F10" s="393">
        <f>IF(ISNUMBER((Datos!K10-Datos!U10)/Datos!U10),(Datos!K10-Datos!U10)/Datos!U10," - ")</f>
        <v>1.4</v>
      </c>
      <c r="G10" s="394">
        <f>IF(ISNUMBER((Datos!L10-Datos!V10)/Datos!V10),(Datos!L10-Datos!V10)/Datos!V10," - ")</f>
        <v>0.41975308641975306</v>
      </c>
      <c r="H10" s="244">
        <f>IF(ISNUMBER((Datos!M10-Datos!W10)/Datos!W10),(Datos!M10-Datos!W10)/Datos!W10," - ")</f>
        <v>6</v>
      </c>
      <c r="I10" s="395">
        <f>IF(ISNUMBER((Tasas!C10-Datos!BE10)/Datos!BE10),(Tasas!C10-Datos!BE10)/Datos!BE10," - ")</f>
        <v>-0.40843621399176949</v>
      </c>
      <c r="J10" s="394">
        <f>IF(ISNUMBER((Tasas!D10-Datos!BF10)/Datos!BF10),(Tasas!D10-Datos!BF10)/Datos!BF10," - ")</f>
        <v>1.9166666666666667</v>
      </c>
      <c r="K10" s="396">
        <f>IF(ISNUMBER((Tasas!E10-Datos!BG10)/Datos!BG10),(Tasas!E10-Datos!BG10)/Datos!BG10," - ")</f>
        <v>-0.38468992248062012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0.2132564841498559</v>
      </c>
      <c r="I12" s="395">
        <f>IF(ISNUMBER((Tasas!C12-Datos!BE12)/Datos!BE12),(Tasas!C12-Datos!BE12)/Datos!BE12," - ")</f>
        <v>9.869875183851673E-2</v>
      </c>
      <c r="J12" s="394">
        <f>IF(ISNUMBER((Tasas!D12-Datos!BF12)/Datos!BF12),(Tasas!D12-Datos!BF12)/Datos!BF12," - ")</f>
        <v>-0.34919912877546699</v>
      </c>
      <c r="K12" s="396">
        <f>IF(ISNUMBER((Tasas!E12-Datos!BG12)/Datos!BG12),(Tasas!E12-Datos!BG12)/Datos!BG12," - ")</f>
        <v>8.3478213381052435E-2</v>
      </c>
      <c r="M12" t="e">
        <f>IF(Monitorios="SI",Datos!CE12,0)</f>
        <v>#REF!</v>
      </c>
      <c r="N12" t="e">
        <f>IF(Monitorios="SI",Datos!CF12,0)</f>
        <v>#REF!</v>
      </c>
      <c r="O12" t="e">
        <f>IF(Monitorios="SI",Datos!CG12,0)</f>
        <v>#REF!</v>
      </c>
      <c r="P12" t="e">
        <f>IF(Monitorios="SI",Datos!CH12,0)</f>
        <v>#REF!</v>
      </c>
      <c r="Q12">
        <f>IF(J_V="SI",0,Datos!AG12)</f>
        <v>145</v>
      </c>
      <c r="R12">
        <f>IF(J_V="SI",0,Datos!AH12)</f>
        <v>103</v>
      </c>
      <c r="S12">
        <f>IF(J_V="SI",0,Datos!AI12)</f>
        <v>77</v>
      </c>
      <c r="T12">
        <f>IF(J_V="SI",0,Datos!AJ12)</f>
        <v>188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0.22988505747126436</v>
      </c>
      <c r="I14" s="402">
        <f>IF(ISNUMBER((Tasas!C14-Datos!BE14)/Datos!BE14),(Tasas!C14-Datos!BE14)/Datos!BE14," - ")</f>
        <v>9.6722339880689026E-2</v>
      </c>
      <c r="J14" s="400">
        <f>IF(ISNUMBER((Tasas!D14-Datos!BF14)/Datos!BF14),(Tasas!D14-Datos!BF14)/Datos!BF14," - ")</f>
        <v>-0.34187260663180996</v>
      </c>
      <c r="K14" s="403">
        <f>IF(ISNUMBER((Tasas!E14-Datos!BG14)/Datos!BG14),(Tasas!E14-Datos!BG14)/Datos!BG14," - ")</f>
        <v>8.1949299090978686E-2</v>
      </c>
      <c r="M14" t="e">
        <f>IF(Monitorios="SI",Datos!CE14,0)</f>
        <v>#REF!</v>
      </c>
      <c r="N14" t="e">
        <f>IF(Monitorios="SI",Datos!CF14,0)</f>
        <v>#REF!</v>
      </c>
      <c r="O14" t="e">
        <f>IF(Monitorios="SI",Datos!CG14,0)</f>
        <v>#REF!</v>
      </c>
      <c r="P14" t="e">
        <f>IF(Monitorios="SI",Datos!CH14,0)</f>
        <v>#REF!</v>
      </c>
      <c r="Q14">
        <f>IF(J_V="SI",0,Datos!AG14)</f>
        <v>145</v>
      </c>
      <c r="R14">
        <f>IF(J_V="SI",0,Datos!AH14)</f>
        <v>103</v>
      </c>
      <c r="S14">
        <f>IF(J_V="SI",0,Datos!AI14)</f>
        <v>77</v>
      </c>
      <c r="T14">
        <f>IF(J_V="SI",0,Datos!AJ14)</f>
        <v>188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0.17919637070641609</v>
      </c>
      <c r="E17" s="393">
        <f>IF(ISNUMBER(
   IF(D_I="SI",(Datos!J17-Datos!T17)/Datos!T17,(Datos!J17+Datos!AD17-(Datos!T17+Datos!AL17))/(Datos!T17+Datos!AL17))
     ),IF(D_I="SI",(Datos!J17-Datos!T17)/Datos!T17,(Datos!J17+Datos!AD17-(Datos!T17+Datos!AL17))/(Datos!T17+Datos!AL17))," - ")</f>
        <v>0.26161504424778759</v>
      </c>
      <c r="F17" s="393">
        <f>IF(ISNUMBER(
   IF(D_I="SI",(Datos!K17-Datos!U17)/Datos!U17,(Datos!K17+Datos!AE17-(Datos!U17+Datos!AM17))/(Datos!U17+Datos!AM17))
     ),IF(D_I="SI",(Datos!K17-Datos!U17)/Datos!U17,(Datos!K17+Datos!AE17-(Datos!U17+Datos!AM17))/(Datos!U17+Datos!AM17))," - ")</f>
        <v>0.52209595959595956</v>
      </c>
      <c r="G17" s="394">
        <f>IF(ISNUMBER(
   IF(D_I="SI",(Datos!L17-Datos!V17)/Datos!V17,(Datos!L17+Datos!AF17-(Datos!V17+Datos!AN17))/(Datos!V17+Datos!AN17))
     ),IF(D_I="SI",(Datos!L17-Datos!V17)/Datos!V17,(Datos!L17+Datos!AF17-(Datos!V17+Datos!AN17))/(Datos!V17+Datos!AN17))," - ")</f>
        <v>-3.537949803447233E-2</v>
      </c>
      <c r="H17" s="244">
        <f>IF(ISNUMBER((Datos!M17-Datos!W17)/Datos!W17),(Datos!M17-Datos!W17)/Datos!W17," - ")</f>
        <v>0.19767441860465115</v>
      </c>
      <c r="I17" s="395">
        <f>IF(ISNUMBER((Tasas!C17-Datos!BE17)/Datos!BE17),(Tasas!C17-Datos!BE17)/Datos!BE17," - ")</f>
        <v>-0.3662551326779776</v>
      </c>
      <c r="J17" s="394">
        <f>IF(ISNUMBER((Tasas!D17-Datos!BF17)/Datos!BF17),(Tasas!D17-Datos!BF17)/Datos!BF17," - ")</f>
        <v>-0.213141319340619</v>
      </c>
      <c r="K17" s="396">
        <f>IF(ISNUMBER((Tasas!E17-Datos!BG17)/Datos!BG17),(Tasas!E17-Datos!BG17)/Datos!BG17," - ")</f>
        <v>-0.20527713447950127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1.1857707509881422E-2</v>
      </c>
      <c r="E18" s="393">
        <f>IF(ISNUMBER(
   IF(D_I="SI",(Datos!J18-Datos!T18)/Datos!T18,(Datos!J18+Datos!AD18-(Datos!T18+Datos!AL18))/(Datos!T18+Datos!AL18))
     ),IF(D_I="SI",(Datos!J18-Datos!T18)/Datos!T18,(Datos!J18+Datos!AD18-(Datos!T18+Datos!AL18))/(Datos!T18+Datos!AL18))," - ")</f>
        <v>0.9</v>
      </c>
      <c r="F18" s="393">
        <f>IF(ISNUMBER(
   IF(D_I="SI",(Datos!K18-Datos!U18)/Datos!U18,(Datos!K18+Datos!AE18-(Datos!U18+Datos!AM18))/(Datos!U18+Datos!AM18))
     ),IF(D_I="SI",(Datos!K18-Datos!U18)/Datos!U18,(Datos!K18+Datos!AE18-(Datos!U18+Datos!AM18))/(Datos!U18+Datos!AM18))," - ")</f>
        <v>0.15957446808510639</v>
      </c>
      <c r="G18" s="394">
        <f>IF(ISNUMBER(
   IF(D_I="SI",(Datos!L18-Datos!V18)/Datos!V18,(Datos!L18+Datos!AF18-(Datos!V18+Datos!AN18))/(Datos!V18+Datos!AN18))
     ),IF(D_I="SI",(Datos!L18-Datos!V18)/Datos!V18,(Datos!L18+Datos!AF18-(Datos!V18+Datos!AN18))/(Datos!V18+Datos!AN18))," - ")</f>
        <v>0.2510460251046025</v>
      </c>
      <c r="H18" s="244">
        <f>IF(ISNUMBER((Datos!M18-Datos!W18)/Datos!W18),(Datos!M18-Datos!W18)/Datos!W18," - ")</f>
        <v>4</v>
      </c>
      <c r="I18" s="395">
        <f>IF(ISNUMBER((Tasas!C18-Datos!BE18)/Datos!BE18),(Tasas!C18-Datos!BE18)/Datos!BE18," - ")</f>
        <v>7.8883728071859199E-2</v>
      </c>
      <c r="J18" s="394">
        <f>IF(ISNUMBER((Tasas!D18-Datos!BF18)/Datos!BF18),(Tasas!D18-Datos!BF18)/Datos!BF18," - ")</f>
        <v>3.3119266055045875</v>
      </c>
      <c r="K18" s="396">
        <f>IF(ISNUMBER((Tasas!E18-Datos!BG18)/Datos!BG18),(Tasas!E18-Datos!BG18)/Datos!BG18," - ")</f>
        <v>5.661624927679984E-2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0.16651692123390235</v>
      </c>
      <c r="E23" s="399">
        <f>IF(ISNUMBER(
   IF(D_I="SI",(Datos!J23-Datos!T23)/Datos!T23,(Datos!J23+Datos!AD23-(Datos!T23+Datos!AL23))/(Datos!T23+Datos!AL23))
     ),IF(D_I="SI",(Datos!J23-Datos!T23)/Datos!T23,(Datos!J23+Datos!AD23-(Datos!T23+Datos!AL23))/(Datos!T23+Datos!AL23))," - ")</f>
        <v>0.28866525423728812</v>
      </c>
      <c r="F23" s="399">
        <f>IF(ISNUMBER(
   IF(D_I="SI",(Datos!K23-Datos!U23)/Datos!U23,(Datos!K23+Datos!AE23-(Datos!U23+Datos!AM23))/(Datos!U23+Datos!AM23))
     ),IF(D_I="SI",(Datos!K23-Datos!U23)/Datos!U23,(Datos!K23+Datos!AE23-(Datos!U23+Datos!AM23))/(Datos!U23+Datos!AM23))," - ")</f>
        <v>0.50178784266984511</v>
      </c>
      <c r="G23" s="400">
        <f>IF(ISNUMBER(
   IF(D_I="SI",(Datos!L23-Datos!V23)/Datos!V23,(Datos!L23+Datos!AF23-(Datos!V23+Datos!AN23))/(Datos!V23+Datos!AN23))
     ),IF(D_I="SI",(Datos!L23-Datos!V23)/Datos!V23,(Datos!L23+Datos!AF23-(Datos!V23+Datos!AN23))/(Datos!V23+Datos!AN23))," - ")</f>
        <v>-1.6074450084602367E-2</v>
      </c>
      <c r="H23" s="401">
        <f>IF(ISNUMBER((Datos!M23-Datos!W23)/Datos!W23),(Datos!M23-Datos!W23)/Datos!W23," - ")</f>
        <v>0.21235521235521235</v>
      </c>
      <c r="I23" s="402">
        <f>IF(ISNUMBER((Tasas!C23-Datos!BE23)/Datos!BE23),(Tasas!C23-Datos!BE23)/Datos!BE23," - ")</f>
        <v>-0.34483052668331854</v>
      </c>
      <c r="J23" s="400">
        <f>IF(ISNUMBER((Tasas!D23-Datos!BF23)/Datos!BF23),(Tasas!D23-Datos!BF23)/Datos!BF23," - ")</f>
        <v>-0.19272537843966409</v>
      </c>
      <c r="K23" s="403">
        <f>IF(ISNUMBER((Tasas!E23-Datos!BG23)/Datos!BG23),(Tasas!E23-Datos!BG23)/Datos!BG23," - ")</f>
        <v>-0.19386943859872882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0.20596661068853106</v>
      </c>
      <c r="E31" s="409">
        <f>IF(ISNUMBER(
   IF(J_V="SI",(Datos!J31-Datos!T31)/Datos!T31,(Datos!J31+Datos!Z31-(Datos!T31+Datos!AH31))/(Datos!T31+Datos!AH31))
     ),IF(J_V="SI",(Datos!J31-Datos!T31)/Datos!T31,(Datos!J31+Datos!Z31-(Datos!T31+Datos!AH31))/(Datos!T31+Datos!AH31))," - ")</f>
        <v>0.22360722462477742</v>
      </c>
      <c r="F31" s="409">
        <f>IF(ISNUMBER(
   IF(J_V="SI",(Datos!K31-Datos!U31)/Datos!U31,(Datos!K31+Datos!AA31-(Datos!U31+Datos!AI31))/(Datos!U31+Datos!AI31))
     ),IF(J_V="SI",(Datos!K31-Datos!U31)/Datos!U31,(Datos!K31+Datos!AA31-(Datos!U31+Datos!AI31))/(Datos!U31+Datos!AI31))," - ")</f>
        <v>0.31457255856404015</v>
      </c>
      <c r="G31" s="410">
        <f>IF(ISNUMBER(
   IF(J_V="SI",(Datos!L31-Datos!V31)/Datos!V31,(Datos!L31+Datos!AB31-(Datos!V31+Datos!AJ31))/(Datos!V31+Datos!AJ31))
     ),IF(J_V="SI",(Datos!L31-Datos!V31)/Datos!V31,(Datos!L31+Datos!AB31-(Datos!V31+Datos!AJ31))/(Datos!V31+Datos!AJ31))," - ")</f>
        <v>0.14749235190507093</v>
      </c>
      <c r="H31" s="411">
        <f>IF(ISNUMBER((Datos!M31-Datos!W31)/Datos!W31),(Datos!M31-Datos!W31)/Datos!W31," - ")</f>
        <v>0.22240527182866557</v>
      </c>
      <c r="I31" s="408">
        <f>IF(ISNUMBER((Tasas!C31-Datos!BE31)/Datos!BE31),(Tasas!C31-Datos!BE31)/Datos!BE31," - ")</f>
        <v>-0.12709850481093077</v>
      </c>
      <c r="J31" s="409">
        <f>IF(ISNUMBER((Tasas!D31-Datos!BF31)/Datos!BF31),(Tasas!D31-Datos!BF31)/Datos!BF31," - ")</f>
        <v>-0.32804520558512679</v>
      </c>
      <c r="K31" s="410">
        <f>IF(ISNUMBER((Tasas!E31-Datos!BG31)/Datos!BG31),(Tasas!E31-Datos!BG31)/Datos!BG31," - ")</f>
        <v>-7.8863465338359778E-2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0.18685423266367679</v>
      </c>
      <c r="E33" s="303">
        <f t="shared" si="1"/>
        <v>0.30047614147750978</v>
      </c>
      <c r="F33" s="303">
        <f t="shared" si="1"/>
        <v>0.52955172308950671</v>
      </c>
      <c r="G33" s="304">
        <f t="shared" si="1"/>
        <v>0.21971932796793617</v>
      </c>
      <c r="H33" s="310">
        <f t="shared" si="1"/>
        <v>2.5514939922631661</v>
      </c>
      <c r="I33" s="302">
        <f t="shared" si="1"/>
        <v>0.2553918719045597</v>
      </c>
      <c r="J33" s="303">
        <f t="shared" si="1"/>
        <v>1.5568405744210569</v>
      </c>
      <c r="K33" s="304">
        <f t="shared" si="1"/>
        <v>0.19595828692531778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G0zWfdNVyzb1TMKWQRnczi8pR7Vw6rLF/+hPQorg/STT6obe89OMe+nEnVKBQ7Wwu8gpOaJN8IFY9DshMgx3g==" saltValue="4sZomUCwP0ewCUU7/z1qW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